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0245" windowHeight="8055" tabRatio="862" firstSheet="1" activeTab="1"/>
  </bookViews>
  <sheets>
    <sheet name="Oficinas" sheetId="20" state="hidden" r:id="rId1"/>
    <sheet name="OE.1.1" sheetId="1" r:id="rId2"/>
    <sheet name="OE.1.2" sheetId="2" r:id="rId3"/>
    <sheet name="OE.1.3" sheetId="5" r:id="rId4"/>
    <sheet name="OE.1.4" sheetId="6" r:id="rId5"/>
    <sheet name="OE.1.5" sheetId="7" r:id="rId6"/>
    <sheet name="OE.2.1" sheetId="3" r:id="rId7"/>
    <sheet name="OE.2.2" sheetId="8" r:id="rId8"/>
    <sheet name="OE.2.3" sheetId="9" r:id="rId9"/>
    <sheet name="OE.2.4" sheetId="10" r:id="rId10"/>
    <sheet name="OE.2.5" sheetId="11" r:id="rId11"/>
    <sheet name="OE.3.1" sheetId="13" r:id="rId12"/>
    <sheet name="OE.3.2" sheetId="14" r:id="rId13"/>
    <sheet name="OE.3.3" sheetId="15" r:id="rId14"/>
    <sheet name="OE.4.1" sheetId="16" r:id="rId15"/>
    <sheet name="OE.4.2" sheetId="17" r:id="rId16"/>
    <sheet name="OE.4.3" sheetId="18" r:id="rId17"/>
    <sheet name="OE.4.4" sheetId="19" r:id="rId18"/>
  </sheets>
  <externalReferences>
    <externalReference r:id="rId19"/>
    <externalReference r:id="rId20"/>
    <externalReference r:id="rId21"/>
  </externalReferences>
  <definedNames>
    <definedName name="aaaa" localSheetId="3">#REF!</definedName>
    <definedName name="aaaa" localSheetId="4">#REF!</definedName>
    <definedName name="aaaa" localSheetId="5">#REF!</definedName>
    <definedName name="aaaa">#REF!</definedName>
    <definedName name="_xlnm.Print_Area" localSheetId="1">OE.1.1!$A$1:$J$376</definedName>
    <definedName name="_xlnm.Print_Area" localSheetId="2">OE.1.2!$A$1:$J$274</definedName>
    <definedName name="_xlnm.Print_Area" localSheetId="5">OE.1.5!$A$1:$J$49</definedName>
    <definedName name="_xlnm.Print_Area" localSheetId="8">OE.2.3!$A$1:$J$123</definedName>
    <definedName name="_xlnm.Print_Area" localSheetId="13">OE.3.3!$A$1:$J$25</definedName>
    <definedName name="_xlnm.Print_Area" localSheetId="16">OE.4.3!$A$1:$J$31</definedName>
    <definedName name="lista">#REF!</definedName>
    <definedName name="Prioridad" localSheetId="3">#REF!</definedName>
    <definedName name="Prioridad" localSheetId="4">#REF!</definedName>
    <definedName name="Prioridad" localSheetId="5">#REF!</definedName>
    <definedName name="Prioridad">#REF!</definedName>
    <definedName name="Seleccion" localSheetId="3">#REF!</definedName>
    <definedName name="Seleccion" localSheetId="4">#REF!</definedName>
    <definedName name="Seleccion" localSheetId="5">#REF!</definedName>
    <definedName name="Seleccion">#REF!</definedName>
    <definedName name="TERRITORIO">[1]DATA!$A$59:$A$63</definedName>
    <definedName name="_xlnm.Print_Titles" localSheetId="1">OE.1.1!$5:$6</definedName>
    <definedName name="_xlnm.Print_Titles" localSheetId="2">OE.1.2!$5:$6</definedName>
    <definedName name="_xlnm.Print_Titles" localSheetId="3">OE.1.3!$5:$6</definedName>
    <definedName name="_xlnm.Print_Titles" localSheetId="4">OE.1.4!$5:$6</definedName>
    <definedName name="_xlnm.Print_Titles" localSheetId="5">OE.1.5!$5:$6</definedName>
    <definedName name="_xlnm.Print_Titles" localSheetId="6">OE.2.1!$5:$6</definedName>
    <definedName name="_xlnm.Print_Titles" localSheetId="7">OE.2.2!$5:$6</definedName>
    <definedName name="_xlnm.Print_Titles" localSheetId="8">OE.2.3!$5:$6</definedName>
    <definedName name="_xlnm.Print_Titles" localSheetId="9">OE.2.4!$5:$6</definedName>
    <definedName name="_xlnm.Print_Titles" localSheetId="10">OE.2.5!$2:$6</definedName>
    <definedName name="_xlnm.Print_Titles" localSheetId="11">OE.3.1!$5:$6</definedName>
    <definedName name="_xlnm.Print_Titles" localSheetId="12">OE.3.2!$5:$6</definedName>
    <definedName name="_xlnm.Print_Titles" localSheetId="13">OE.3.3!$2:$6</definedName>
    <definedName name="_xlnm.Print_Titles" localSheetId="14">OE.4.1!$5:$6</definedName>
    <definedName name="_xlnm.Print_Titles" localSheetId="15">OE.4.2!$5:$6</definedName>
    <definedName name="_xlnm.Print_Titles" localSheetId="16">OE.4.3!$5:$6</definedName>
    <definedName name="_xlnm.Print_Titles" localSheetId="17">OE.4.4!$5:$6</definedName>
    <definedName name="UM_Eval_Fisica" localSheetId="3">#REF!</definedName>
    <definedName name="UM_Eval_Fisica" localSheetId="4">#REF!</definedName>
    <definedName name="UM_Eval_Fisica" localSheetId="5">#REF!</definedName>
    <definedName name="UM_Eval_Fisica">#REF!</definedName>
    <definedName name="UM_Pobacion" localSheetId="3">#REF!</definedName>
    <definedName name="UM_Pobacion" localSheetId="4">#REF!</definedName>
    <definedName name="UM_Pobacion" localSheetId="5">#REF!</definedName>
    <definedName name="UM_Pobacion">#REF!</definedName>
  </definedNames>
  <calcPr calcId="145621"/>
</workbook>
</file>

<file path=xl/calcChain.xml><?xml version="1.0" encoding="utf-8"?>
<calcChain xmlns="http://schemas.openxmlformats.org/spreadsheetml/2006/main">
  <c r="G225" i="1" l="1"/>
  <c r="G224" i="1"/>
  <c r="G223" i="1"/>
  <c r="G222" i="1"/>
  <c r="G216" i="1"/>
  <c r="G215" i="1"/>
  <c r="G212" i="1"/>
  <c r="G205" i="1"/>
  <c r="G204" i="1"/>
  <c r="G203" i="1"/>
  <c r="G202" i="1"/>
  <c r="G201" i="1"/>
  <c r="G199" i="1"/>
  <c r="G198" i="1"/>
  <c r="G197" i="1"/>
  <c r="G194" i="1"/>
  <c r="G193" i="1"/>
  <c r="G190" i="1"/>
  <c r="G189" i="1"/>
  <c r="G187" i="1"/>
  <c r="G186" i="1"/>
  <c r="G184" i="1"/>
  <c r="G183" i="1"/>
  <c r="G182" i="1"/>
  <c r="G181" i="1"/>
  <c r="G180" i="1"/>
  <c r="G179" i="1"/>
  <c r="G178" i="1"/>
  <c r="G177" i="1"/>
  <c r="G176" i="1"/>
  <c r="G174" i="1"/>
  <c r="G171" i="1"/>
  <c r="G169" i="1"/>
  <c r="G168" i="1"/>
  <c r="G167" i="1"/>
  <c r="G166" i="1"/>
  <c r="G165" i="1"/>
  <c r="G164" i="1"/>
  <c r="G162" i="1"/>
  <c r="G161" i="1"/>
  <c r="G160" i="1"/>
  <c r="G156" i="1"/>
  <c r="G154" i="1"/>
  <c r="G153" i="1"/>
  <c r="G151" i="1"/>
  <c r="G150" i="1"/>
  <c r="G148" i="1"/>
  <c r="G147" i="1"/>
  <c r="G145" i="1"/>
  <c r="G144" i="1"/>
  <c r="G143" i="1"/>
  <c r="G141" i="1"/>
  <c r="G139" i="1"/>
  <c r="G127" i="1"/>
  <c r="G126" i="1"/>
  <c r="G125" i="1"/>
  <c r="G124" i="1"/>
  <c r="G119" i="1"/>
  <c r="G118" i="1"/>
  <c r="G115" i="1"/>
  <c r="G114" i="1"/>
  <c r="G113" i="1"/>
  <c r="G111" i="1"/>
  <c r="G109" i="1"/>
  <c r="G97" i="1"/>
  <c r="G96" i="1"/>
  <c r="G93" i="1"/>
  <c r="G90" i="1"/>
  <c r="G89" i="1"/>
  <c r="G88" i="1"/>
  <c r="G87" i="1"/>
  <c r="G86" i="1"/>
  <c r="G85" i="1"/>
  <c r="I87" i="1"/>
  <c r="I84" i="1"/>
  <c r="H87" i="1"/>
  <c r="H84" i="1"/>
  <c r="J222" i="1"/>
  <c r="J221" i="1"/>
  <c r="J220" i="1"/>
  <c r="J219" i="1"/>
  <c r="J216" i="1"/>
  <c r="J215" i="1"/>
  <c r="J213" i="1"/>
  <c r="J212" i="1"/>
  <c r="J207" i="1"/>
  <c r="J205" i="1"/>
  <c r="J204" i="1"/>
  <c r="J203" i="1"/>
  <c r="J201" i="1"/>
  <c r="J200" i="1"/>
  <c r="J199" i="1"/>
  <c r="J197" i="1"/>
  <c r="J195" i="1"/>
  <c r="J193" i="1"/>
  <c r="J191" i="1"/>
  <c r="J189" i="1"/>
  <c r="J188" i="1"/>
  <c r="J186" i="1"/>
  <c r="J185" i="1"/>
  <c r="J183" i="1"/>
  <c r="J182" i="1"/>
  <c r="J181" i="1"/>
  <c r="J180" i="1"/>
  <c r="J179" i="1"/>
  <c r="J177" i="1"/>
  <c r="J176" i="1"/>
  <c r="J174" i="1"/>
  <c r="J173" i="1"/>
  <c r="J171" i="1"/>
  <c r="J170" i="1"/>
  <c r="J169" i="1"/>
  <c r="J168" i="1"/>
  <c r="J167" i="1"/>
  <c r="J164" i="1"/>
  <c r="J163" i="1"/>
  <c r="J160" i="1"/>
  <c r="J159" i="1"/>
  <c r="J156" i="1"/>
  <c r="J155" i="1"/>
  <c r="J154" i="1"/>
  <c r="J153" i="1"/>
  <c r="J152" i="1"/>
  <c r="J151" i="1"/>
  <c r="J150" i="1"/>
  <c r="J149" i="1"/>
  <c r="J148" i="1"/>
  <c r="J147" i="1"/>
  <c r="J146" i="1"/>
  <c r="J145" i="1"/>
  <c r="J144" i="1"/>
  <c r="J143" i="1"/>
  <c r="J141" i="1"/>
  <c r="J140" i="1"/>
  <c r="J139" i="1"/>
  <c r="J128" i="1"/>
  <c r="J127" i="1"/>
  <c r="J126" i="1"/>
  <c r="J125" i="1"/>
  <c r="J124" i="1"/>
  <c r="J119" i="1"/>
  <c r="J118" i="1"/>
  <c r="J117" i="1"/>
  <c r="J115" i="1"/>
  <c r="J113" i="1"/>
  <c r="J111" i="1"/>
  <c r="J109" i="1"/>
  <c r="J108" i="1"/>
  <c r="J97" i="1"/>
  <c r="J96" i="1"/>
  <c r="J93" i="1"/>
  <c r="J90" i="1"/>
  <c r="J89" i="1"/>
  <c r="J88" i="1"/>
  <c r="J87" i="1"/>
  <c r="J86" i="1"/>
  <c r="J85" i="1"/>
  <c r="H21" i="1" l="1"/>
  <c r="H19" i="11"/>
  <c r="I19" i="11"/>
  <c r="I12" i="11" s="1"/>
  <c r="I225" i="3" l="1"/>
  <c r="J225" i="3" s="1"/>
  <c r="H225" i="3"/>
  <c r="H224" i="3" s="1"/>
  <c r="I121" i="3"/>
  <c r="I28" i="5"/>
  <c r="H28" i="5"/>
  <c r="J48" i="5"/>
  <c r="J47" i="5"/>
  <c r="I224" i="3" l="1"/>
  <c r="J224" i="3" s="1"/>
  <c r="I8" i="14"/>
  <c r="H8" i="14"/>
  <c r="H69" i="13"/>
  <c r="I47" i="11"/>
  <c r="I10" i="11"/>
  <c r="H10" i="11"/>
  <c r="H248" i="1" l="1"/>
  <c r="I248" i="1"/>
  <c r="H32" i="3"/>
  <c r="H8" i="13"/>
  <c r="I85" i="10"/>
  <c r="H85" i="10"/>
  <c r="I69" i="9"/>
  <c r="I8" i="9"/>
  <c r="H69" i="9"/>
  <c r="H27" i="8" l="1"/>
  <c r="H21" i="8"/>
  <c r="H8" i="8"/>
  <c r="H17" i="3"/>
  <c r="J75" i="13" l="1"/>
  <c r="I75" i="13"/>
  <c r="H75" i="13"/>
  <c r="J77" i="13"/>
  <c r="J10" i="13"/>
  <c r="H47" i="11"/>
  <c r="J48" i="11"/>
  <c r="J193" i="16"/>
  <c r="G193" i="16"/>
  <c r="I192" i="16"/>
  <c r="H192" i="16"/>
  <c r="I7" i="19"/>
  <c r="H7" i="19"/>
  <c r="J10" i="19"/>
  <c r="J9" i="19"/>
  <c r="J8" i="19"/>
  <c r="J18" i="19"/>
  <c r="J17" i="19"/>
  <c r="J21" i="19"/>
  <c r="J192" i="16" l="1"/>
  <c r="I99" i="16" l="1"/>
  <c r="G28" i="8"/>
  <c r="H99" i="16" l="1"/>
  <c r="I32" i="3" l="1"/>
  <c r="J31" i="3"/>
  <c r="J32" i="3" l="1"/>
  <c r="I11" i="19" l="1"/>
  <c r="H11" i="19"/>
  <c r="I27" i="8"/>
  <c r="I26" i="3"/>
  <c r="H26" i="3"/>
  <c r="I26" i="5"/>
  <c r="H26" i="5"/>
  <c r="I21" i="5"/>
  <c r="H21" i="5"/>
  <c r="J26" i="5" l="1"/>
  <c r="H13" i="2"/>
  <c r="H286" i="1" l="1"/>
  <c r="H17" i="1"/>
  <c r="G13" i="19" l="1"/>
  <c r="G12" i="19"/>
  <c r="J12" i="19"/>
  <c r="J13" i="19"/>
  <c r="J15" i="19"/>
  <c r="H16" i="19"/>
  <c r="H14" i="19" s="1"/>
  <c r="I16" i="19"/>
  <c r="I14" i="19" s="1"/>
  <c r="H19" i="19"/>
  <c r="I19" i="19"/>
  <c r="J16" i="19" l="1"/>
  <c r="J19" i="19"/>
  <c r="J14" i="19" l="1"/>
  <c r="J22" i="19" l="1"/>
  <c r="H25" i="19"/>
  <c r="H11" i="13" l="1"/>
  <c r="G110" i="13"/>
  <c r="G109" i="13"/>
  <c r="G108" i="13"/>
  <c r="G107" i="13"/>
  <c r="G106" i="13"/>
  <c r="G71" i="13"/>
  <c r="H71" i="13"/>
  <c r="I71" i="13"/>
  <c r="J71" i="13"/>
  <c r="G74" i="13"/>
  <c r="J42" i="11"/>
  <c r="H33" i="11"/>
  <c r="G37" i="11"/>
  <c r="J75" i="10" l="1"/>
  <c r="J74" i="10"/>
  <c r="J84" i="10"/>
  <c r="J72" i="10"/>
  <c r="I25" i="10"/>
  <c r="H25" i="10"/>
  <c r="G35" i="11" l="1"/>
  <c r="G26" i="11"/>
  <c r="G29" i="11"/>
  <c r="J28" i="11"/>
  <c r="G28" i="11"/>
  <c r="G24" i="11"/>
  <c r="G11" i="11"/>
  <c r="J11" i="11"/>
  <c r="J59" i="3"/>
  <c r="J58" i="3"/>
  <c r="G30" i="3"/>
  <c r="J30" i="3"/>
  <c r="G31" i="3"/>
  <c r="G29" i="3"/>
  <c r="J29" i="3"/>
  <c r="G27" i="3"/>
  <c r="J27" i="3"/>
  <c r="G28" i="3"/>
  <c r="J28" i="3"/>
  <c r="G27" i="5" l="1"/>
  <c r="J27" i="5"/>
  <c r="G266" i="2" l="1"/>
  <c r="G34" i="3"/>
  <c r="G33" i="3"/>
  <c r="I21" i="1" l="1"/>
  <c r="J34" i="1"/>
  <c r="J33" i="1"/>
  <c r="J32" i="1"/>
  <c r="J31" i="1"/>
  <c r="J30" i="1"/>
  <c r="J29" i="1"/>
  <c r="J28" i="1"/>
  <c r="J27" i="1"/>
  <c r="J26" i="1"/>
  <c r="J25" i="1"/>
  <c r="J24" i="1"/>
  <c r="J23" i="1"/>
  <c r="J22" i="1"/>
  <c r="G34" i="1"/>
  <c r="G33" i="1"/>
  <c r="G32" i="1"/>
  <c r="G31" i="1"/>
  <c r="G30" i="1"/>
  <c r="G29" i="1"/>
  <c r="G28" i="1"/>
  <c r="G27" i="1"/>
  <c r="G26" i="1"/>
  <c r="G25" i="1"/>
  <c r="G24" i="1"/>
  <c r="G23" i="1"/>
  <c r="G22" i="1"/>
  <c r="G45" i="6" l="1"/>
  <c r="G44" i="6"/>
  <c r="G43" i="6"/>
  <c r="G42" i="6"/>
  <c r="G41" i="6"/>
  <c r="G40" i="6"/>
  <c r="G39" i="6"/>
  <c r="G38" i="6"/>
  <c r="G37" i="6"/>
  <c r="G36" i="6"/>
  <c r="G35" i="6"/>
  <c r="G34" i="6"/>
  <c r="G33" i="6"/>
  <c r="G31" i="6"/>
  <c r="G30" i="6"/>
  <c r="G29" i="6"/>
  <c r="G28" i="6"/>
  <c r="G27" i="6"/>
  <c r="G26" i="6"/>
  <c r="G25" i="6"/>
  <c r="G24" i="6"/>
  <c r="G23" i="6"/>
  <c r="G22" i="6"/>
  <c r="G21" i="6"/>
  <c r="G20" i="6"/>
  <c r="G29" i="19" l="1"/>
  <c r="G28" i="19"/>
  <c r="G27" i="19"/>
  <c r="G26" i="19"/>
  <c r="J83" i="3"/>
  <c r="J82" i="3"/>
  <c r="J78" i="3"/>
  <c r="J71" i="3"/>
  <c r="J65" i="3"/>
  <c r="J63" i="3"/>
  <c r="J62" i="3"/>
  <c r="J7" i="19" l="1"/>
  <c r="J11" i="19"/>
  <c r="G123" i="9" l="1"/>
  <c r="G122" i="9"/>
  <c r="G121" i="9"/>
  <c r="G120" i="9"/>
  <c r="J219" i="3" l="1"/>
  <c r="J210" i="3"/>
  <c r="J207" i="3"/>
  <c r="J194" i="3"/>
  <c r="I183" i="3"/>
  <c r="H183" i="3"/>
  <c r="J200" i="3"/>
  <c r="J172" i="3"/>
  <c r="J158" i="3"/>
  <c r="J146" i="3"/>
  <c r="J138" i="3"/>
  <c r="J135" i="3"/>
  <c r="G156" i="3"/>
  <c r="G145" i="3"/>
  <c r="J134" i="3"/>
  <c r="G221" i="3" l="1"/>
  <c r="G220" i="3"/>
  <c r="G218" i="3"/>
  <c r="G217" i="3"/>
  <c r="G216" i="3"/>
  <c r="G215" i="3"/>
  <c r="G214" i="3"/>
  <c r="G213" i="3"/>
  <c r="G212" i="3"/>
  <c r="G211" i="3"/>
  <c r="G209" i="3"/>
  <c r="G208" i="3"/>
  <c r="G206" i="3"/>
  <c r="G205" i="3"/>
  <c r="G204" i="3"/>
  <c r="G203" i="3"/>
  <c r="G202" i="3"/>
  <c r="G201" i="3"/>
  <c r="G199" i="3"/>
  <c r="G198" i="3"/>
  <c r="G197" i="3"/>
  <c r="G196" i="3"/>
  <c r="G193" i="3"/>
  <c r="G192" i="3"/>
  <c r="G191" i="3"/>
  <c r="G189" i="3"/>
  <c r="G188" i="3"/>
  <c r="G187" i="3"/>
  <c r="G186" i="3"/>
  <c r="G185" i="3"/>
  <c r="G182" i="3"/>
  <c r="G181" i="3"/>
  <c r="G180" i="3"/>
  <c r="G179" i="3"/>
  <c r="G178" i="3"/>
  <c r="G177" i="3"/>
  <c r="G176" i="3"/>
  <c r="G175" i="3"/>
  <c r="G171" i="3"/>
  <c r="G170" i="3"/>
  <c r="G169" i="3"/>
  <c r="G168" i="3"/>
  <c r="G167" i="3"/>
  <c r="G166" i="3"/>
  <c r="G165" i="3"/>
  <c r="G164" i="3"/>
  <c r="G163" i="3"/>
  <c r="G162" i="3"/>
  <c r="G161" i="3"/>
  <c r="G160" i="3"/>
  <c r="G159" i="3"/>
  <c r="G157" i="3"/>
  <c r="G155" i="3"/>
  <c r="G154" i="3"/>
  <c r="G153" i="3"/>
  <c r="G151" i="3"/>
  <c r="G150" i="3"/>
  <c r="G148" i="3"/>
  <c r="G147" i="3"/>
  <c r="G144" i="3"/>
  <c r="G143" i="3"/>
  <c r="G142" i="3"/>
  <c r="G141" i="3"/>
  <c r="G140" i="3"/>
  <c r="G139" i="3"/>
  <c r="G137" i="3"/>
  <c r="G136" i="3"/>
  <c r="E219" i="3"/>
  <c r="E200" i="3"/>
  <c r="J119" i="3" l="1"/>
  <c r="J133" i="3" l="1"/>
  <c r="G133" i="3"/>
  <c r="J132" i="3"/>
  <c r="G132" i="3"/>
  <c r="J131" i="3"/>
  <c r="G131" i="3"/>
  <c r="J130" i="3"/>
  <c r="G130" i="3"/>
  <c r="J129" i="3"/>
  <c r="G129" i="3"/>
  <c r="J128" i="3"/>
  <c r="G128" i="3"/>
  <c r="J127" i="3"/>
  <c r="G127" i="3"/>
  <c r="J126" i="3"/>
  <c r="G126" i="3"/>
  <c r="J125" i="3"/>
  <c r="G125" i="3"/>
  <c r="J124" i="3"/>
  <c r="G124" i="3"/>
  <c r="J123" i="3"/>
  <c r="G123" i="3"/>
  <c r="I122" i="3"/>
  <c r="H122" i="3"/>
  <c r="J121" i="3"/>
  <c r="G121" i="3"/>
  <c r="J120" i="3"/>
  <c r="G120" i="3"/>
  <c r="G119" i="3"/>
  <c r="J118" i="3"/>
  <c r="E118" i="3"/>
  <c r="G118" i="3" s="1"/>
  <c r="J117" i="3"/>
  <c r="G117" i="3"/>
  <c r="J116" i="3"/>
  <c r="G116" i="3"/>
  <c r="I115" i="3"/>
  <c r="H115" i="3"/>
  <c r="J122" i="3" l="1"/>
  <c r="J115" i="3"/>
  <c r="G80" i="3"/>
  <c r="G68" i="3"/>
  <c r="G67" i="3"/>
  <c r="G77" i="3"/>
  <c r="G76" i="3"/>
  <c r="F75" i="3"/>
  <c r="F74" i="3"/>
  <c r="F73" i="3"/>
  <c r="F72" i="3"/>
  <c r="E75" i="3"/>
  <c r="E74" i="3"/>
  <c r="E73" i="3"/>
  <c r="E72" i="3"/>
  <c r="G66" i="3"/>
  <c r="G65" i="3"/>
  <c r="G64" i="3"/>
  <c r="G63" i="3"/>
  <c r="G62" i="3"/>
  <c r="H171" i="16" l="1"/>
  <c r="H30" i="16"/>
  <c r="H12" i="16"/>
  <c r="H31" i="14"/>
  <c r="I45" i="11"/>
  <c r="H45" i="11"/>
  <c r="I41" i="11"/>
  <c r="I8" i="11"/>
  <c r="H8" i="11"/>
  <c r="J8" i="11" l="1"/>
  <c r="J45" i="11"/>
  <c r="I222" i="3"/>
  <c r="I60" i="3" s="1"/>
  <c r="H222" i="3"/>
  <c r="H60" i="3" s="1"/>
  <c r="J222" i="3" l="1"/>
  <c r="J81" i="9"/>
  <c r="G81" i="9"/>
  <c r="I80" i="9"/>
  <c r="H80" i="9"/>
  <c r="J80" i="9" s="1"/>
  <c r="J79" i="9"/>
  <c r="G79" i="9"/>
  <c r="J78" i="9"/>
  <c r="G78" i="9"/>
  <c r="J77" i="9"/>
  <c r="G77" i="9"/>
  <c r="J76" i="9"/>
  <c r="G76" i="9"/>
  <c r="J75" i="9"/>
  <c r="G75" i="9"/>
  <c r="J74" i="9"/>
  <c r="G74" i="9"/>
  <c r="J73" i="9"/>
  <c r="G73" i="9"/>
  <c r="G72" i="9"/>
  <c r="J71" i="9"/>
  <c r="G71" i="9"/>
  <c r="J70" i="9"/>
  <c r="G70" i="9"/>
  <c r="J69" i="9"/>
  <c r="G69" i="9"/>
  <c r="I68" i="9"/>
  <c r="H68" i="9"/>
  <c r="J66" i="9"/>
  <c r="G66" i="9"/>
  <c r="J65" i="9"/>
  <c r="G65" i="9"/>
  <c r="J64" i="9"/>
  <c r="G64" i="9"/>
  <c r="J63" i="9"/>
  <c r="G63" i="9"/>
  <c r="J62" i="9"/>
  <c r="G62" i="9"/>
  <c r="J61" i="9"/>
  <c r="G61" i="9"/>
  <c r="J60" i="9"/>
  <c r="G60" i="9"/>
  <c r="J59" i="9"/>
  <c r="G59" i="9"/>
  <c r="J58" i="9"/>
  <c r="G58" i="9"/>
  <c r="J57" i="9"/>
  <c r="G57" i="9"/>
  <c r="I56" i="9"/>
  <c r="J56" i="9" s="1"/>
  <c r="H56" i="9"/>
  <c r="J55" i="9"/>
  <c r="G55" i="9"/>
  <c r="J54" i="9"/>
  <c r="G54" i="9"/>
  <c r="J53" i="9"/>
  <c r="G53" i="9"/>
  <c r="J52" i="9"/>
  <c r="G52" i="9"/>
  <c r="J51" i="9"/>
  <c r="G51" i="9"/>
  <c r="J50" i="9"/>
  <c r="G50" i="9"/>
  <c r="J49" i="9"/>
  <c r="G49" i="9"/>
  <c r="I48" i="9"/>
  <c r="J48" i="9" s="1"/>
  <c r="H48" i="9"/>
  <c r="J47" i="9"/>
  <c r="G47" i="9"/>
  <c r="I46" i="9"/>
  <c r="J46" i="9" s="1"/>
  <c r="H46" i="9"/>
  <c r="J45" i="9"/>
  <c r="G45" i="9"/>
  <c r="J44" i="9"/>
  <c r="G44" i="9"/>
  <c r="J43" i="9"/>
  <c r="G43" i="9"/>
  <c r="J42" i="9"/>
  <c r="G42" i="9"/>
  <c r="J41" i="9"/>
  <c r="G41" i="9"/>
  <c r="J40" i="9"/>
  <c r="G40" i="9"/>
  <c r="J39" i="9"/>
  <c r="G39" i="9"/>
  <c r="J38" i="9"/>
  <c r="G38" i="9"/>
  <c r="J37" i="9"/>
  <c r="G37" i="9"/>
  <c r="J36" i="9"/>
  <c r="G36" i="9"/>
  <c r="J35" i="9"/>
  <c r="G35" i="9"/>
  <c r="J34" i="9"/>
  <c r="G34" i="9"/>
  <c r="J33" i="9"/>
  <c r="G33" i="9"/>
  <c r="I32" i="9"/>
  <c r="J32" i="9" s="1"/>
  <c r="H32" i="9"/>
  <c r="J31" i="9"/>
  <c r="G31" i="9"/>
  <c r="J30" i="9"/>
  <c r="G30" i="9"/>
  <c r="J29" i="9"/>
  <c r="G29" i="9"/>
  <c r="J28" i="9"/>
  <c r="G28" i="9"/>
  <c r="J27" i="9"/>
  <c r="G27" i="9"/>
  <c r="J26" i="9"/>
  <c r="G26" i="9"/>
  <c r="J25" i="9"/>
  <c r="G25" i="9"/>
  <c r="J24" i="9"/>
  <c r="G24" i="9"/>
  <c r="J23" i="9"/>
  <c r="G23" i="9"/>
  <c r="J22" i="9"/>
  <c r="G22" i="9"/>
  <c r="J21" i="9"/>
  <c r="G21" i="9"/>
  <c r="J20" i="9"/>
  <c r="G20" i="9"/>
  <c r="J19" i="9"/>
  <c r="G19" i="9"/>
  <c r="J18" i="9"/>
  <c r="G18" i="9"/>
  <c r="J17" i="9"/>
  <c r="G17" i="9"/>
  <c r="J16" i="9"/>
  <c r="G16" i="9"/>
  <c r="J15" i="9"/>
  <c r="G15" i="9"/>
  <c r="J14" i="9"/>
  <c r="G14" i="9"/>
  <c r="J13" i="9"/>
  <c r="G13" i="9"/>
  <c r="J12" i="9"/>
  <c r="G12" i="9"/>
  <c r="J11" i="9"/>
  <c r="G11" i="9"/>
  <c r="J10" i="9"/>
  <c r="G10" i="9"/>
  <c r="J9" i="9"/>
  <c r="G9" i="9"/>
  <c r="H8" i="9"/>
  <c r="J8" i="9" s="1"/>
  <c r="H7" i="9" l="1"/>
  <c r="J68" i="9"/>
  <c r="I7" i="9"/>
  <c r="J7" i="9" l="1"/>
  <c r="G223" i="3"/>
  <c r="G302" i="3"/>
  <c r="G300" i="3"/>
  <c r="G298" i="3"/>
  <c r="G296" i="3"/>
  <c r="G294" i="3"/>
  <c r="G293" i="3"/>
  <c r="G292" i="3"/>
  <c r="G291" i="3"/>
  <c r="G290" i="3"/>
  <c r="G288" i="3"/>
  <c r="G287" i="3"/>
  <c r="G286" i="3"/>
  <c r="G285" i="3"/>
  <c r="G284" i="3"/>
  <c r="G283" i="3"/>
  <c r="G282" i="3"/>
  <c r="G281" i="3"/>
  <c r="G280" i="3"/>
  <c r="G279" i="3"/>
  <c r="G278" i="3"/>
  <c r="G276" i="3"/>
  <c r="G273" i="3"/>
  <c r="G272" i="3"/>
  <c r="G271" i="3"/>
  <c r="G270" i="3"/>
  <c r="G269" i="3"/>
  <c r="G268" i="3"/>
  <c r="G267" i="3"/>
  <c r="G265" i="3"/>
  <c r="G264" i="3"/>
  <c r="G263" i="3"/>
  <c r="G261" i="3"/>
  <c r="G260" i="3"/>
  <c r="G259" i="3"/>
  <c r="G258" i="3"/>
  <c r="G257" i="3"/>
  <c r="G255" i="3"/>
  <c r="G254" i="3"/>
  <c r="G253" i="3"/>
  <c r="G252" i="3"/>
  <c r="G251" i="3"/>
  <c r="G249" i="3"/>
  <c r="G248" i="3"/>
  <c r="G247" i="3"/>
  <c r="G246" i="3"/>
  <c r="G244" i="3"/>
  <c r="G243" i="3"/>
  <c r="G242" i="3"/>
  <c r="G241" i="3"/>
  <c r="G239" i="3"/>
  <c r="G238" i="3"/>
  <c r="G236" i="3"/>
  <c r="G235" i="3"/>
  <c r="G234" i="3"/>
  <c r="G233" i="3"/>
  <c r="G232" i="3"/>
  <c r="G231" i="3"/>
  <c r="G230" i="3"/>
  <c r="G229" i="3"/>
  <c r="G114" i="3" l="1"/>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1" i="3"/>
  <c r="G79" i="3"/>
  <c r="G75" i="3"/>
  <c r="G74" i="3"/>
  <c r="G73" i="3"/>
  <c r="G72" i="3"/>
  <c r="G70" i="3"/>
  <c r="G69" i="3"/>
  <c r="H82" i="9" l="1"/>
  <c r="I82" i="9"/>
  <c r="J82" i="9" s="1"/>
  <c r="G83" i="9"/>
  <c r="J83" i="9"/>
  <c r="G84" i="9"/>
  <c r="G85" i="9"/>
  <c r="J85" i="9"/>
  <c r="G86" i="9"/>
  <c r="G88" i="9"/>
  <c r="J88" i="9"/>
  <c r="G89" i="9"/>
  <c r="G90" i="9"/>
  <c r="G91" i="9"/>
  <c r="G92" i="9"/>
  <c r="G93" i="9"/>
  <c r="G94" i="9"/>
  <c r="G95" i="9"/>
  <c r="G96" i="9"/>
  <c r="G97" i="9"/>
  <c r="G98" i="9"/>
  <c r="G99" i="9"/>
  <c r="G100" i="9"/>
  <c r="J100" i="9"/>
  <c r="G101" i="9"/>
  <c r="G102" i="9"/>
  <c r="G103" i="9"/>
  <c r="G104" i="9"/>
  <c r="G105" i="9"/>
  <c r="G106" i="9"/>
  <c r="J108" i="9"/>
  <c r="H109" i="9"/>
  <c r="H87" i="9" s="1"/>
  <c r="I109" i="9"/>
  <c r="I87" i="9" s="1"/>
  <c r="G111" i="9"/>
  <c r="H111" i="9"/>
  <c r="I111" i="9"/>
  <c r="J87" i="9" l="1"/>
  <c r="J109" i="9"/>
  <c r="J111" i="9"/>
  <c r="J31" i="18" l="1"/>
  <c r="G31" i="18"/>
  <c r="J30" i="18"/>
  <c r="G30" i="18"/>
  <c r="I29" i="18"/>
  <c r="J29" i="18" s="1"/>
  <c r="H29" i="18"/>
  <c r="J28" i="18"/>
  <c r="G28" i="18"/>
  <c r="J27" i="18"/>
  <c r="G27" i="18"/>
  <c r="J26" i="18"/>
  <c r="G26" i="18"/>
  <c r="J25" i="18"/>
  <c r="G25" i="18"/>
  <c r="J24" i="18"/>
  <c r="G24" i="18"/>
  <c r="J23" i="18"/>
  <c r="G23" i="18"/>
  <c r="J22" i="18"/>
  <c r="G22" i="18"/>
  <c r="I21" i="18"/>
  <c r="J21" i="18" s="1"/>
  <c r="H21" i="18"/>
  <c r="J20" i="18"/>
  <c r="G20" i="18"/>
  <c r="J19" i="18"/>
  <c r="G19" i="18"/>
  <c r="J18" i="18"/>
  <c r="G18" i="18"/>
  <c r="J17" i="18"/>
  <c r="I17" i="18"/>
  <c r="H17" i="18"/>
  <c r="J16" i="18"/>
  <c r="G16" i="18"/>
  <c r="J15" i="18"/>
  <c r="G15" i="18"/>
  <c r="I14" i="18"/>
  <c r="J14" i="18" s="1"/>
  <c r="H14" i="18"/>
  <c r="J13" i="18"/>
  <c r="G13" i="18"/>
  <c r="J12" i="18"/>
  <c r="G12" i="18"/>
  <c r="I11" i="18"/>
  <c r="J11" i="18" s="1"/>
  <c r="H11" i="18"/>
  <c r="J10" i="18"/>
  <c r="G10" i="18"/>
  <c r="J9" i="18"/>
  <c r="G9" i="18"/>
  <c r="I8" i="18"/>
  <c r="J8" i="18" s="1"/>
  <c r="H8" i="18"/>
  <c r="H7" i="18" s="1"/>
  <c r="I7" i="18" l="1"/>
  <c r="J7" i="18" s="1"/>
  <c r="J44" i="11" l="1"/>
  <c r="G355" i="1" l="1"/>
  <c r="G354" i="1"/>
  <c r="G353" i="1"/>
  <c r="G352" i="1"/>
  <c r="G351" i="1"/>
  <c r="G350" i="1"/>
  <c r="G349" i="1"/>
  <c r="G348"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J68" i="13" l="1"/>
  <c r="J67" i="13"/>
  <c r="J66" i="13"/>
  <c r="J64" i="13"/>
  <c r="J60" i="13"/>
  <c r="J58" i="13"/>
  <c r="J57" i="13"/>
  <c r="J56" i="13"/>
  <c r="J54" i="13"/>
  <c r="J53" i="13"/>
  <c r="J52" i="13"/>
  <c r="J50" i="13"/>
  <c r="J48" i="13"/>
  <c r="J46" i="13"/>
  <c r="J45" i="13"/>
  <c r="J44" i="13"/>
  <c r="J43" i="13"/>
  <c r="J42" i="13"/>
  <c r="J41" i="13"/>
  <c r="J40" i="13"/>
  <c r="J38" i="13"/>
  <c r="J37" i="13"/>
  <c r="J36" i="13"/>
  <c r="J35" i="13"/>
  <c r="J33" i="13"/>
  <c r="J32" i="13"/>
  <c r="J30" i="13"/>
  <c r="J29" i="13"/>
  <c r="J28" i="13"/>
  <c r="J27" i="13"/>
  <c r="J26" i="13"/>
  <c r="J25" i="13"/>
  <c r="J22" i="13"/>
  <c r="J21" i="13"/>
  <c r="J20" i="13"/>
  <c r="J19" i="13"/>
  <c r="J18" i="13"/>
  <c r="J17" i="13"/>
  <c r="J16" i="13"/>
  <c r="J15" i="13"/>
  <c r="J14" i="13"/>
  <c r="J13" i="13"/>
  <c r="J12" i="13"/>
  <c r="J9" i="13"/>
  <c r="I11" i="13"/>
  <c r="J11" i="13" l="1"/>
  <c r="J8" i="14"/>
  <c r="I31" i="14"/>
  <c r="I7" i="14" s="1"/>
  <c r="J31" i="14" l="1"/>
  <c r="J48" i="10"/>
  <c r="I34" i="19"/>
  <c r="H34" i="19"/>
  <c r="I30" i="19"/>
  <c r="H30" i="19"/>
  <c r="I25" i="19"/>
  <c r="J25" i="19" s="1"/>
  <c r="I23" i="19"/>
  <c r="H23" i="19"/>
  <c r="J29" i="19"/>
  <c r="J30" i="19" l="1"/>
  <c r="J34" i="19"/>
  <c r="J85" i="10"/>
  <c r="J23" i="19"/>
  <c r="J40" i="19"/>
  <c r="I37" i="19" l="1"/>
  <c r="H37" i="19"/>
  <c r="J24" i="19"/>
  <c r="H28" i="7"/>
  <c r="H35" i="7"/>
  <c r="I9" i="7"/>
  <c r="I8" i="7" s="1"/>
  <c r="I7" i="7" s="1"/>
  <c r="H9" i="7"/>
  <c r="I28" i="7"/>
  <c r="J28" i="7" s="1"/>
  <c r="I17" i="7"/>
  <c r="H17" i="7"/>
  <c r="J17" i="7" s="1"/>
  <c r="I13" i="7"/>
  <c r="J13" i="7" s="1"/>
  <c r="H13" i="7"/>
  <c r="G49" i="7"/>
  <c r="G48" i="7"/>
  <c r="G47" i="7"/>
  <c r="G46" i="7"/>
  <c r="G45" i="7"/>
  <c r="G44" i="7"/>
  <c r="G43" i="7"/>
  <c r="G42" i="7"/>
  <c r="G41" i="7"/>
  <c r="G40" i="7"/>
  <c r="G39" i="7"/>
  <c r="G38" i="7"/>
  <c r="G37" i="7"/>
  <c r="G36" i="7"/>
  <c r="G34" i="7"/>
  <c r="G33" i="7"/>
  <c r="G32" i="7"/>
  <c r="G31" i="7"/>
  <c r="G29" i="7"/>
  <c r="G26" i="7"/>
  <c r="G25" i="7"/>
  <c r="G24" i="7"/>
  <c r="G23" i="7"/>
  <c r="G22" i="7"/>
  <c r="G20" i="7"/>
  <c r="G19" i="7"/>
  <c r="G18" i="7"/>
  <c r="G16" i="7"/>
  <c r="G15" i="7"/>
  <c r="G14" i="7"/>
  <c r="G12" i="7"/>
  <c r="G11" i="7"/>
  <c r="G10" i="7"/>
  <c r="J49" i="7"/>
  <c r="J48" i="7"/>
  <c r="J47" i="7"/>
  <c r="J46" i="7"/>
  <c r="J45" i="7"/>
  <c r="J44" i="7"/>
  <c r="J43" i="7"/>
  <c r="J42" i="7"/>
  <c r="J41" i="7"/>
  <c r="J40" i="7"/>
  <c r="J39" i="7"/>
  <c r="J38" i="7"/>
  <c r="J37" i="7"/>
  <c r="J36" i="7"/>
  <c r="J34" i="7"/>
  <c r="J33" i="7"/>
  <c r="J32" i="7"/>
  <c r="J31" i="7"/>
  <c r="J29" i="7"/>
  <c r="J26" i="7"/>
  <c r="J25" i="7"/>
  <c r="J24" i="7"/>
  <c r="J23" i="7"/>
  <c r="J22" i="7"/>
  <c r="J20" i="7"/>
  <c r="J19" i="7"/>
  <c r="J18" i="7"/>
  <c r="J16" i="7"/>
  <c r="J15" i="7"/>
  <c r="J14" i="7"/>
  <c r="J12" i="7"/>
  <c r="J11" i="7"/>
  <c r="J10" i="7"/>
  <c r="I35" i="7"/>
  <c r="J35" i="7" s="1"/>
  <c r="J51" i="5"/>
  <c r="I49" i="5"/>
  <c r="G18" i="1"/>
  <c r="G16" i="1"/>
  <c r="G14" i="1"/>
  <c r="H8" i="7" l="1"/>
  <c r="H7" i="7" s="1"/>
  <c r="J7" i="7" s="1"/>
  <c r="J37" i="19"/>
  <c r="J8" i="7"/>
  <c r="J9" i="7"/>
  <c r="J57" i="3" l="1"/>
  <c r="J56" i="3"/>
  <c r="J55" i="3"/>
  <c r="J54" i="3"/>
  <c r="J53" i="3"/>
  <c r="J52" i="3"/>
  <c r="J51" i="3"/>
  <c r="J50" i="3"/>
  <c r="J49" i="3"/>
  <c r="J48" i="3"/>
  <c r="J47" i="3"/>
  <c r="J46" i="3"/>
  <c r="J45" i="3"/>
  <c r="J44" i="3"/>
  <c r="J43" i="3"/>
  <c r="J42" i="3"/>
  <c r="J41" i="3"/>
  <c r="J40" i="3"/>
  <c r="J39" i="3"/>
  <c r="J38" i="3"/>
  <c r="J37" i="3"/>
  <c r="H250" i="3"/>
  <c r="I240" i="3"/>
  <c r="G11" i="6"/>
  <c r="G10" i="6"/>
  <c r="G18" i="6"/>
  <c r="G17" i="6"/>
  <c r="G15" i="6"/>
  <c r="G13" i="6"/>
  <c r="I17" i="6"/>
  <c r="I9" i="6"/>
  <c r="H17" i="6"/>
  <c r="J15" i="6"/>
  <c r="J13" i="6"/>
  <c r="J11" i="6"/>
  <c r="J10" i="6"/>
  <c r="I14" i="6"/>
  <c r="I12" i="6"/>
  <c r="I18" i="6"/>
  <c r="I16" i="6" s="1"/>
  <c r="I8" i="6" s="1"/>
  <c r="H18" i="6"/>
  <c r="J18" i="6" s="1"/>
  <c r="J17" i="6" l="1"/>
  <c r="G20" i="1"/>
  <c r="J117" i="9"/>
  <c r="G118" i="9"/>
  <c r="J61" i="1"/>
  <c r="G83" i="1"/>
  <c r="G79" i="1"/>
  <c r="G78" i="1"/>
  <c r="G77" i="1"/>
  <c r="G76" i="1"/>
  <c r="G75" i="1"/>
  <c r="G74" i="1"/>
  <c r="G73" i="1"/>
  <c r="G72" i="1"/>
  <c r="G70" i="1"/>
  <c r="G69" i="1"/>
  <c r="G68" i="1"/>
  <c r="G67" i="1"/>
  <c r="G66" i="1"/>
  <c r="G65" i="1"/>
  <c r="G64" i="1"/>
  <c r="G63" i="1"/>
  <c r="G62" i="1"/>
  <c r="G61" i="1"/>
  <c r="G60" i="1"/>
  <c r="G59" i="1"/>
  <c r="F82" i="1"/>
  <c r="F81" i="1"/>
  <c r="F80" i="1"/>
  <c r="H80" i="1"/>
  <c r="J83" i="1"/>
  <c r="J79" i="1"/>
  <c r="J78" i="1"/>
  <c r="J77" i="1"/>
  <c r="J76" i="1"/>
  <c r="J74" i="1"/>
  <c r="J73" i="1"/>
  <c r="J72" i="1"/>
  <c r="J64" i="1"/>
  <c r="J63" i="1"/>
  <c r="J62" i="1"/>
  <c r="J60" i="1"/>
  <c r="J59" i="1"/>
  <c r="I82" i="1"/>
  <c r="H82" i="1"/>
  <c r="I81" i="1"/>
  <c r="H81" i="1"/>
  <c r="I80" i="1"/>
  <c r="I58" i="1" s="1"/>
  <c r="E82" i="1"/>
  <c r="E81" i="1"/>
  <c r="E80" i="1"/>
  <c r="G251" i="2"/>
  <c r="G246" i="2"/>
  <c r="G244" i="2"/>
  <c r="G242" i="2"/>
  <c r="G229" i="2"/>
  <c r="G228" i="2"/>
  <c r="G225" i="2"/>
  <c r="G210" i="2"/>
  <c r="G209" i="2"/>
  <c r="G208" i="2"/>
  <c r="G207" i="2"/>
  <c r="G206" i="2"/>
  <c r="G188" i="2"/>
  <c r="G185" i="2"/>
  <c r="G184" i="2"/>
  <c r="G167" i="2"/>
  <c r="G160" i="2"/>
  <c r="G102" i="2"/>
  <c r="G101" i="2"/>
  <c r="I255" i="2"/>
  <c r="H255" i="2"/>
  <c r="H227" i="2"/>
  <c r="H201" i="2"/>
  <c r="H180" i="2"/>
  <c r="H168" i="2"/>
  <c r="H144" i="2"/>
  <c r="H121" i="2"/>
  <c r="H99" i="2"/>
  <c r="J81" i="1" l="1"/>
  <c r="G80" i="1"/>
  <c r="G81" i="1"/>
  <c r="G82" i="1"/>
  <c r="J82" i="1"/>
  <c r="J80" i="1"/>
  <c r="J255" i="2"/>
  <c r="J253" i="2"/>
  <c r="J252" i="2"/>
  <c r="J251" i="2"/>
  <c r="J250" i="2"/>
  <c r="J249" i="2"/>
  <c r="J248" i="2"/>
  <c r="J246" i="2"/>
  <c r="J244" i="2"/>
  <c r="J241" i="2"/>
  <c r="J240" i="2"/>
  <c r="J239" i="2"/>
  <c r="J238" i="2"/>
  <c r="J237" i="2"/>
  <c r="J236" i="2"/>
  <c r="J235" i="2"/>
  <c r="J234" i="2"/>
  <c r="J233" i="2"/>
  <c r="J232" i="2"/>
  <c r="J231" i="2"/>
  <c r="J230" i="2"/>
  <c r="J229" i="2"/>
  <c r="J228"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0" i="2"/>
  <c r="J199" i="2"/>
  <c r="J198" i="2"/>
  <c r="J197" i="2"/>
  <c r="J196" i="2"/>
  <c r="J195" i="2"/>
  <c r="J194" i="2"/>
  <c r="J193" i="2"/>
  <c r="J192" i="2"/>
  <c r="J191" i="2"/>
  <c r="J190" i="2"/>
  <c r="J189" i="2"/>
  <c r="J188" i="2"/>
  <c r="J187" i="2"/>
  <c r="J186" i="2"/>
  <c r="J185" i="2"/>
  <c r="J184" i="2"/>
  <c r="J183" i="2"/>
  <c r="J182" i="2"/>
  <c r="J181" i="2"/>
  <c r="J179" i="2"/>
  <c r="J178" i="2"/>
  <c r="J177" i="2"/>
  <c r="J176" i="2"/>
  <c r="J175" i="2"/>
  <c r="J174" i="2"/>
  <c r="J173" i="2"/>
  <c r="J172" i="2"/>
  <c r="J171" i="2"/>
  <c r="J170" i="2"/>
  <c r="J169" i="2"/>
  <c r="J167" i="2"/>
  <c r="J166" i="2"/>
  <c r="J165" i="2"/>
  <c r="J164" i="2"/>
  <c r="J163" i="2"/>
  <c r="J162" i="2"/>
  <c r="J161" i="2"/>
  <c r="J160" i="2"/>
  <c r="J159" i="2"/>
  <c r="J158" i="2"/>
  <c r="J157" i="2"/>
  <c r="J156" i="2"/>
  <c r="J155" i="2"/>
  <c r="J154" i="2"/>
  <c r="J153" i="2"/>
  <c r="J152" i="2"/>
  <c r="J151" i="2"/>
  <c r="J150" i="2"/>
  <c r="J149" i="2"/>
  <c r="J148" i="2"/>
  <c r="J147" i="2"/>
  <c r="J146" i="2"/>
  <c r="J145" i="2"/>
  <c r="J143" i="2"/>
  <c r="J142" i="2"/>
  <c r="J141" i="2"/>
  <c r="J140" i="2"/>
  <c r="J139" i="2"/>
  <c r="J138" i="2"/>
  <c r="J137" i="2"/>
  <c r="J136" i="2"/>
  <c r="J135" i="2"/>
  <c r="J134" i="2"/>
  <c r="J133" i="2"/>
  <c r="J132" i="2"/>
  <c r="J131" i="2"/>
  <c r="J130" i="2"/>
  <c r="J129" i="2"/>
  <c r="J128" i="2"/>
  <c r="J127" i="2"/>
  <c r="J126" i="2"/>
  <c r="J125" i="2"/>
  <c r="J124" i="2"/>
  <c r="J123" i="2"/>
  <c r="J122" i="2"/>
  <c r="J120" i="2"/>
  <c r="J119" i="2"/>
  <c r="J118" i="2"/>
  <c r="J117" i="2"/>
  <c r="J116" i="2"/>
  <c r="J115" i="2"/>
  <c r="J114" i="2"/>
  <c r="J113" i="2"/>
  <c r="J112" i="2"/>
  <c r="J111" i="2"/>
  <c r="J110" i="2"/>
  <c r="J109" i="2"/>
  <c r="J108" i="2"/>
  <c r="J107" i="2"/>
  <c r="J106" i="2"/>
  <c r="J105" i="2"/>
  <c r="J104" i="2"/>
  <c r="J103" i="2"/>
  <c r="J102" i="2"/>
  <c r="J101" i="2"/>
  <c r="J100" i="2"/>
  <c r="G255" i="2"/>
  <c r="I254" i="2"/>
  <c r="H254" i="2"/>
  <c r="G253" i="2"/>
  <c r="G252" i="2"/>
  <c r="G250" i="2"/>
  <c r="G249" i="2"/>
  <c r="G248" i="2"/>
  <c r="I247" i="2"/>
  <c r="J247" i="2" s="1"/>
  <c r="H247" i="2"/>
  <c r="I245" i="2"/>
  <c r="J245" i="2" s="1"/>
  <c r="H245" i="2"/>
  <c r="I243" i="2"/>
  <c r="J243" i="2" s="1"/>
  <c r="H243" i="2"/>
  <c r="G241" i="2"/>
  <c r="G240" i="2"/>
  <c r="G239" i="2"/>
  <c r="G238" i="2"/>
  <c r="G237" i="2"/>
  <c r="G236" i="2"/>
  <c r="G235" i="2"/>
  <c r="G234" i="2"/>
  <c r="G233" i="2"/>
  <c r="G232" i="2"/>
  <c r="G231" i="2"/>
  <c r="G230" i="2"/>
  <c r="I227" i="2"/>
  <c r="J227" i="2" s="1"/>
  <c r="G226" i="2"/>
  <c r="G224" i="2"/>
  <c r="G223" i="2"/>
  <c r="G222" i="2"/>
  <c r="G221" i="2"/>
  <c r="G220" i="2"/>
  <c r="G219" i="2"/>
  <c r="G218" i="2"/>
  <c r="G217" i="2"/>
  <c r="G216" i="2"/>
  <c r="G215" i="2"/>
  <c r="G214" i="2"/>
  <c r="G213" i="2"/>
  <c r="G212" i="2"/>
  <c r="G211" i="2"/>
  <c r="G205" i="2"/>
  <c r="G204" i="2"/>
  <c r="G203" i="2"/>
  <c r="G202" i="2"/>
  <c r="I201" i="2"/>
  <c r="J201" i="2" s="1"/>
  <c r="G200" i="2"/>
  <c r="G199" i="2"/>
  <c r="G198" i="2"/>
  <c r="G197" i="2"/>
  <c r="G196" i="2"/>
  <c r="G195" i="2"/>
  <c r="G194" i="2"/>
  <c r="G193" i="2"/>
  <c r="G192" i="2"/>
  <c r="G191" i="2"/>
  <c r="G190" i="2"/>
  <c r="G189" i="2"/>
  <c r="G187" i="2"/>
  <c r="G186" i="2"/>
  <c r="G183" i="2"/>
  <c r="G182" i="2"/>
  <c r="G181" i="2"/>
  <c r="I180" i="2"/>
  <c r="J180" i="2" s="1"/>
  <c r="G179" i="2"/>
  <c r="G178" i="2"/>
  <c r="G177" i="2"/>
  <c r="G176" i="2"/>
  <c r="G175" i="2"/>
  <c r="G174" i="2"/>
  <c r="G173" i="2"/>
  <c r="G172" i="2"/>
  <c r="G171" i="2"/>
  <c r="G170" i="2"/>
  <c r="G169" i="2"/>
  <c r="I168" i="2"/>
  <c r="J168" i="2" s="1"/>
  <c r="G166" i="2"/>
  <c r="G165" i="2"/>
  <c r="G164" i="2"/>
  <c r="G163" i="2"/>
  <c r="G162" i="2"/>
  <c r="G161" i="2"/>
  <c r="G159" i="2"/>
  <c r="G158" i="2"/>
  <c r="G157" i="2"/>
  <c r="G156" i="2"/>
  <c r="G155" i="2"/>
  <c r="G154" i="2"/>
  <c r="G153" i="2"/>
  <c r="G152" i="2"/>
  <c r="G151" i="2"/>
  <c r="G150" i="2"/>
  <c r="G149" i="2"/>
  <c r="G148" i="2"/>
  <c r="G147" i="2"/>
  <c r="G146" i="2"/>
  <c r="G145" i="2"/>
  <c r="I144" i="2"/>
  <c r="J144" i="2" s="1"/>
  <c r="G143" i="2"/>
  <c r="G142" i="2"/>
  <c r="G141" i="2"/>
  <c r="G140" i="2"/>
  <c r="G139" i="2"/>
  <c r="G138" i="2"/>
  <c r="G137" i="2"/>
  <c r="G136" i="2"/>
  <c r="G135" i="2"/>
  <c r="G134" i="2"/>
  <c r="G133" i="2"/>
  <c r="G132" i="2"/>
  <c r="G131" i="2"/>
  <c r="G130" i="2"/>
  <c r="G129" i="2"/>
  <c r="G128" i="2"/>
  <c r="G127" i="2"/>
  <c r="G126" i="2"/>
  <c r="G125" i="2"/>
  <c r="G124" i="2"/>
  <c r="G123" i="2"/>
  <c r="G122" i="2"/>
  <c r="I121" i="2"/>
  <c r="J121" i="2" s="1"/>
  <c r="G120" i="2"/>
  <c r="G119" i="2"/>
  <c r="G118" i="2"/>
  <c r="G117" i="2"/>
  <c r="G116" i="2"/>
  <c r="G115" i="2"/>
  <c r="G114" i="2"/>
  <c r="G113" i="2"/>
  <c r="G112" i="2"/>
  <c r="G111" i="2"/>
  <c r="G110" i="2"/>
  <c r="G109" i="2"/>
  <c r="G108" i="2"/>
  <c r="G107" i="2"/>
  <c r="G106" i="2"/>
  <c r="G105" i="2"/>
  <c r="G104" i="2"/>
  <c r="G103" i="2"/>
  <c r="G100" i="2"/>
  <c r="I99" i="2"/>
  <c r="J99" i="2" s="1"/>
  <c r="H98" i="2" l="1"/>
  <c r="I98" i="2"/>
  <c r="J98" i="2" s="1"/>
  <c r="J254" i="2"/>
  <c r="J79" i="17" l="1"/>
  <c r="J77" i="17"/>
  <c r="J75" i="17"/>
  <c r="J74" i="17"/>
  <c r="J73" i="17"/>
  <c r="J72" i="17"/>
  <c r="J70" i="17"/>
  <c r="J69" i="17"/>
  <c r="J68" i="17"/>
  <c r="J67" i="17"/>
  <c r="J66" i="17"/>
  <c r="J65" i="17"/>
  <c r="J63" i="17"/>
  <c r="J62" i="17"/>
  <c r="J61" i="17"/>
  <c r="J60" i="17"/>
  <c r="J59" i="17"/>
  <c r="J57" i="17"/>
  <c r="J56" i="17"/>
  <c r="J55" i="17"/>
  <c r="J54" i="17"/>
  <c r="J53" i="17"/>
  <c r="J52" i="17"/>
  <c r="J49" i="17"/>
  <c r="J46" i="17"/>
  <c r="J44" i="17"/>
  <c r="J43" i="17"/>
  <c r="J42" i="17"/>
  <c r="J41" i="17"/>
  <c r="J39" i="17"/>
  <c r="J37" i="17"/>
  <c r="J35" i="17"/>
  <c r="J33" i="17"/>
  <c r="I34" i="17"/>
  <c r="I32" i="17" s="1"/>
  <c r="H32" i="17"/>
  <c r="I80" i="17"/>
  <c r="I78" i="17"/>
  <c r="I71" i="17"/>
  <c r="J71" i="17" s="1"/>
  <c r="I66" i="17"/>
  <c r="I64" i="17"/>
  <c r="J64" i="17" s="1"/>
  <c r="I62" i="17"/>
  <c r="I58" i="17"/>
  <c r="J58" i="17" s="1"/>
  <c r="I52" i="17"/>
  <c r="I50" i="17"/>
  <c r="I48" i="17"/>
  <c r="J48" i="17" s="1"/>
  <c r="I45" i="17"/>
  <c r="J45" i="17" s="1"/>
  <c r="I40" i="17"/>
  <c r="I38" i="17"/>
  <c r="I36" i="17"/>
  <c r="H45" i="17"/>
  <c r="H52" i="17"/>
  <c r="H58" i="17"/>
  <c r="H62" i="17"/>
  <c r="H64" i="17"/>
  <c r="H66" i="17"/>
  <c r="H71" i="17"/>
  <c r="H80" i="17"/>
  <c r="H78" i="17"/>
  <c r="J78" i="17" s="1"/>
  <c r="H50" i="17"/>
  <c r="H48" i="17"/>
  <c r="H40" i="17"/>
  <c r="J40" i="17" s="1"/>
  <c r="J32" i="17" l="1"/>
  <c r="I76" i="17"/>
  <c r="J80" i="17"/>
  <c r="J34" i="17"/>
  <c r="H76" i="17"/>
  <c r="I301" i="3"/>
  <c r="H301" i="3"/>
  <c r="J302" i="3"/>
  <c r="J76" i="17" l="1"/>
  <c r="I31" i="17"/>
  <c r="J301" i="3"/>
  <c r="J235" i="3"/>
  <c r="J236" i="3"/>
  <c r="I250" i="3"/>
  <c r="I262" i="3"/>
  <c r="I256" i="3"/>
  <c r="I289" i="3"/>
  <c r="J295" i="3"/>
  <c r="I295" i="3"/>
  <c r="H245" i="3"/>
  <c r="J245" i="3" s="1"/>
  <c r="I274" i="3" l="1"/>
  <c r="I227" i="3" s="1"/>
  <c r="I226" i="3" s="1"/>
  <c r="G80" i="17"/>
  <c r="G79" i="17"/>
  <c r="G78" i="17"/>
  <c r="G77" i="17"/>
  <c r="G76" i="17"/>
  <c r="G75" i="17"/>
  <c r="G74" i="17"/>
  <c r="G73" i="17"/>
  <c r="G72" i="17"/>
  <c r="G71" i="17"/>
  <c r="G70" i="17"/>
  <c r="G69" i="17"/>
  <c r="G68" i="17"/>
  <c r="G67" i="17"/>
  <c r="G66" i="17"/>
  <c r="G65" i="17"/>
  <c r="G63" i="17"/>
  <c r="G61" i="17"/>
  <c r="G60" i="17"/>
  <c r="G59" i="17"/>
  <c r="G57" i="17"/>
  <c r="G56" i="17"/>
  <c r="G55" i="17"/>
  <c r="G54" i="17"/>
  <c r="G53" i="17"/>
  <c r="G51" i="17"/>
  <c r="G50" i="17"/>
  <c r="G49" i="17"/>
  <c r="G48" i="17"/>
  <c r="G47" i="17"/>
  <c r="G46" i="17"/>
  <c r="G45" i="17"/>
  <c r="G44" i="17"/>
  <c r="G43" i="17"/>
  <c r="G42" i="17"/>
  <c r="G41" i="17"/>
  <c r="G40" i="17"/>
  <c r="G39" i="17"/>
  <c r="G37" i="17"/>
  <c r="G35" i="17"/>
  <c r="G34" i="17"/>
  <c r="G33" i="17"/>
  <c r="G8" i="17"/>
  <c r="I7" i="17"/>
  <c r="J8" i="17"/>
  <c r="J7" i="17" s="1"/>
  <c r="G30" i="17"/>
  <c r="G29" i="17"/>
  <c r="G28" i="17"/>
  <c r="G27" i="17"/>
  <c r="G26" i="17"/>
  <c r="G25" i="17"/>
  <c r="G24" i="17"/>
  <c r="G23" i="17"/>
  <c r="G22" i="17"/>
  <c r="G21" i="17"/>
  <c r="G20" i="17"/>
  <c r="G19" i="17"/>
  <c r="G18" i="17"/>
  <c r="G17" i="17"/>
  <c r="G16" i="17"/>
  <c r="G15" i="17"/>
  <c r="G14" i="17"/>
  <c r="G13" i="17"/>
  <c r="G12" i="17"/>
  <c r="J30" i="17"/>
  <c r="J29" i="17"/>
  <c r="J28" i="17"/>
  <c r="J27" i="17"/>
  <c r="J26" i="17"/>
  <c r="J25" i="17"/>
  <c r="J24" i="17"/>
  <c r="J23" i="17"/>
  <c r="J22" i="17"/>
  <c r="J21" i="17"/>
  <c r="J20" i="17"/>
  <c r="J19" i="17"/>
  <c r="J18" i="17"/>
  <c r="J17" i="17"/>
  <c r="J16" i="17"/>
  <c r="J15" i="17"/>
  <c r="J14" i="17"/>
  <c r="J13" i="17"/>
  <c r="I12" i="17"/>
  <c r="I11" i="17" s="1"/>
  <c r="G73" i="16"/>
  <c r="G191" i="16"/>
  <c r="I190" i="16"/>
  <c r="I10" i="17" l="1"/>
  <c r="J12" i="17"/>
  <c r="J189" i="16"/>
  <c r="J188" i="16"/>
  <c r="J187" i="16"/>
  <c r="J186" i="16"/>
  <c r="J185" i="16"/>
  <c r="J184" i="16"/>
  <c r="J183" i="16"/>
  <c r="J182" i="16"/>
  <c r="J181" i="16"/>
  <c r="J180" i="16"/>
  <c r="J179" i="16"/>
  <c r="J178" i="16"/>
  <c r="J177" i="16"/>
  <c r="J176" i="16"/>
  <c r="J175" i="16"/>
  <c r="J174" i="16"/>
  <c r="J173" i="16"/>
  <c r="J172" i="16"/>
  <c r="G189" i="16"/>
  <c r="G188" i="16"/>
  <c r="G187" i="16"/>
  <c r="G186" i="16"/>
  <c r="G185" i="16"/>
  <c r="G184" i="16"/>
  <c r="G183" i="16"/>
  <c r="G182" i="16"/>
  <c r="G181" i="16"/>
  <c r="G180" i="16"/>
  <c r="G179" i="16"/>
  <c r="G178" i="16"/>
  <c r="G177" i="16"/>
  <c r="G176" i="16"/>
  <c r="G175" i="16"/>
  <c r="G174" i="16"/>
  <c r="G173" i="16"/>
  <c r="G172" i="16"/>
  <c r="I171" i="16"/>
  <c r="J171" i="16" s="1"/>
  <c r="J170" i="16"/>
  <c r="J169" i="16"/>
  <c r="J168" i="16"/>
  <c r="J167" i="16"/>
  <c r="J166" i="16"/>
  <c r="J165" i="16"/>
  <c r="J164" i="16"/>
  <c r="J163" i="16"/>
  <c r="J162" i="16"/>
  <c r="J161" i="16"/>
  <c r="J160" i="16"/>
  <c r="J159" i="16"/>
  <c r="J158" i="16"/>
  <c r="J157" i="16"/>
  <c r="G170" i="16"/>
  <c r="G169" i="16"/>
  <c r="G168" i="16"/>
  <c r="G167" i="16"/>
  <c r="G166" i="16"/>
  <c r="G165" i="16"/>
  <c r="G164" i="16"/>
  <c r="G163" i="16"/>
  <c r="G162" i="16"/>
  <c r="G161" i="16"/>
  <c r="G160" i="16"/>
  <c r="G159" i="16"/>
  <c r="G158" i="16"/>
  <c r="G157" i="16"/>
  <c r="I156" i="16"/>
  <c r="G155" i="16"/>
  <c r="G154" i="16"/>
  <c r="G153" i="16"/>
  <c r="G152" i="16"/>
  <c r="G151" i="16"/>
  <c r="G150" i="16"/>
  <c r="G149" i="16"/>
  <c r="G148" i="16"/>
  <c r="G147" i="16"/>
  <c r="G146" i="16"/>
  <c r="G145" i="16"/>
  <c r="G136" i="16"/>
  <c r="G141" i="16"/>
  <c r="G140" i="16"/>
  <c r="G139" i="16"/>
  <c r="G138" i="16"/>
  <c r="G142" i="16"/>
  <c r="J155" i="16"/>
  <c r="J154" i="16"/>
  <c r="J153" i="16"/>
  <c r="J152" i="16"/>
  <c r="J151" i="16"/>
  <c r="J150" i="16"/>
  <c r="J149" i="16"/>
  <c r="J148" i="16"/>
  <c r="J147" i="16"/>
  <c r="J146" i="16"/>
  <c r="J145" i="16"/>
  <c r="I144" i="16"/>
  <c r="J136" i="16"/>
  <c r="J135" i="16"/>
  <c r="J134" i="16"/>
  <c r="J133" i="16"/>
  <c r="J132" i="16"/>
  <c r="G135" i="16"/>
  <c r="G134" i="16"/>
  <c r="G133" i="16"/>
  <c r="G132" i="16"/>
  <c r="G130" i="16"/>
  <c r="G129" i="16"/>
  <c r="G128" i="16"/>
  <c r="G127" i="16"/>
  <c r="G125" i="16"/>
  <c r="G124" i="16"/>
  <c r="G123" i="16"/>
  <c r="G122" i="16"/>
  <c r="J142" i="16"/>
  <c r="J141" i="16"/>
  <c r="J140" i="16"/>
  <c r="J139" i="16"/>
  <c r="J138" i="16"/>
  <c r="J130" i="16"/>
  <c r="J129" i="16"/>
  <c r="J127" i="16"/>
  <c r="J125" i="16"/>
  <c r="J124" i="16"/>
  <c r="J123" i="16"/>
  <c r="J122" i="16"/>
  <c r="J121" i="16"/>
  <c r="I137" i="16"/>
  <c r="H137" i="16"/>
  <c r="J137" i="16" s="1"/>
  <c r="I131" i="16"/>
  <c r="H131" i="16"/>
  <c r="I128" i="16"/>
  <c r="I126" i="16" s="1"/>
  <c r="H128" i="16"/>
  <c r="J128" i="16" s="1"/>
  <c r="I120" i="16"/>
  <c r="H120" i="16"/>
  <c r="J120" i="16" l="1"/>
  <c r="J131" i="16"/>
  <c r="I9" i="17"/>
  <c r="I119" i="16"/>
  <c r="H126" i="16"/>
  <c r="H119" i="16" s="1"/>
  <c r="J126" i="16" l="1"/>
  <c r="J119" i="16"/>
  <c r="I7" i="15"/>
  <c r="H24" i="15"/>
  <c r="I18" i="15"/>
  <c r="H18" i="15"/>
  <c r="I14" i="15"/>
  <c r="H14" i="15"/>
  <c r="I9" i="15"/>
  <c r="H9" i="15"/>
  <c r="H8" i="15" s="1"/>
  <c r="H7" i="15" s="1"/>
  <c r="I8" i="15"/>
  <c r="G71" i="16" l="1"/>
  <c r="G70" i="16"/>
  <c r="G69" i="16"/>
  <c r="G68" i="16"/>
  <c r="G67" i="16"/>
  <c r="G66" i="16"/>
  <c r="G65" i="16"/>
  <c r="J71" i="16"/>
  <c r="J70" i="16"/>
  <c r="J69" i="16"/>
  <c r="J68" i="16"/>
  <c r="J67" i="16"/>
  <c r="J66" i="16"/>
  <c r="J65" i="16"/>
  <c r="I61" i="16"/>
  <c r="G63" i="16"/>
  <c r="G62" i="16"/>
  <c r="J63" i="16"/>
  <c r="J62" i="16"/>
  <c r="I78" i="16"/>
  <c r="H64" i="16"/>
  <c r="I64" i="16"/>
  <c r="J64" i="16" s="1"/>
  <c r="I77" i="16"/>
  <c r="I72" i="16" s="1"/>
  <c r="H72" i="16"/>
  <c r="I117" i="16" l="1"/>
  <c r="I98" i="16" s="1"/>
  <c r="J118" i="16"/>
  <c r="G59" i="16"/>
  <c r="G58" i="16"/>
  <c r="G57" i="16"/>
  <c r="G56" i="16"/>
  <c r="G55" i="16"/>
  <c r="G54" i="16"/>
  <c r="J59" i="16"/>
  <c r="J58" i="16"/>
  <c r="J57" i="16"/>
  <c r="J56" i="16"/>
  <c r="J55" i="16"/>
  <c r="J54" i="16"/>
  <c r="I53" i="16"/>
  <c r="H53" i="16"/>
  <c r="J52" i="16"/>
  <c r="J51" i="16"/>
  <c r="J50" i="16"/>
  <c r="J49" i="16"/>
  <c r="J48" i="16"/>
  <c r="J47" i="16"/>
  <c r="I46" i="16"/>
  <c r="G52" i="16"/>
  <c r="G51" i="16"/>
  <c r="G50" i="16"/>
  <c r="G49" i="16"/>
  <c r="G48" i="16"/>
  <c r="G47" i="16"/>
  <c r="H46" i="16"/>
  <c r="J46" i="16" l="1"/>
  <c r="J53" i="16"/>
  <c r="J191" i="16"/>
  <c r="H190" i="16"/>
  <c r="J190" i="16" s="1"/>
  <c r="H156" i="16"/>
  <c r="H144" i="16"/>
  <c r="J144" i="16" s="1"/>
  <c r="H117" i="16"/>
  <c r="J116" i="16"/>
  <c r="G116" i="16"/>
  <c r="J115" i="16"/>
  <c r="G115" i="16"/>
  <c r="J114" i="16"/>
  <c r="G114" i="16"/>
  <c r="J113" i="16"/>
  <c r="F113" i="16"/>
  <c r="E113" i="16"/>
  <c r="J112" i="16"/>
  <c r="G112" i="16"/>
  <c r="J111" i="16"/>
  <c r="G111" i="16"/>
  <c r="J110" i="16"/>
  <c r="G110" i="16"/>
  <c r="J109" i="16"/>
  <c r="G109" i="16"/>
  <c r="J108" i="16"/>
  <c r="G108" i="16"/>
  <c r="J107" i="16"/>
  <c r="G107" i="16"/>
  <c r="J106" i="16"/>
  <c r="G106" i="16"/>
  <c r="J105" i="16"/>
  <c r="G105" i="16"/>
  <c r="J104" i="16"/>
  <c r="G104" i="16"/>
  <c r="J103" i="16"/>
  <c r="G103" i="16"/>
  <c r="J102" i="16"/>
  <c r="G102" i="16"/>
  <c r="J101" i="16"/>
  <c r="G101" i="16"/>
  <c r="J100" i="16"/>
  <c r="G100" i="16"/>
  <c r="J99" i="16"/>
  <c r="G99" i="16"/>
  <c r="H78" i="16"/>
  <c r="H61" i="16"/>
  <c r="J61" i="16" s="1"/>
  <c r="J45" i="16"/>
  <c r="G45" i="16"/>
  <c r="J44" i="16"/>
  <c r="G44" i="16"/>
  <c r="J43" i="16"/>
  <c r="G43" i="16"/>
  <c r="J42" i="16"/>
  <c r="G42" i="16"/>
  <c r="J41" i="16"/>
  <c r="G41" i="16"/>
  <c r="J40" i="16"/>
  <c r="G40" i="16"/>
  <c r="J39" i="16"/>
  <c r="G39" i="16"/>
  <c r="J38" i="16"/>
  <c r="G38" i="16"/>
  <c r="I37" i="16"/>
  <c r="H37" i="16"/>
  <c r="J36" i="16"/>
  <c r="I35" i="16"/>
  <c r="H35" i="16"/>
  <c r="J34" i="16"/>
  <c r="J33" i="16"/>
  <c r="J32" i="16"/>
  <c r="J31" i="16"/>
  <c r="I30" i="16"/>
  <c r="J29" i="16"/>
  <c r="I28" i="16"/>
  <c r="H28" i="16"/>
  <c r="J27" i="16"/>
  <c r="G27" i="16"/>
  <c r="J26" i="16"/>
  <c r="G26" i="16"/>
  <c r="J25" i="16"/>
  <c r="G25" i="16"/>
  <c r="J24" i="16"/>
  <c r="G24" i="16"/>
  <c r="J23" i="16"/>
  <c r="G23" i="16"/>
  <c r="J22" i="16"/>
  <c r="G22" i="16"/>
  <c r="J21" i="16"/>
  <c r="G21" i="16"/>
  <c r="J20" i="16"/>
  <c r="G20" i="16"/>
  <c r="J19" i="16"/>
  <c r="G19" i="16"/>
  <c r="J18" i="16"/>
  <c r="G18" i="16"/>
  <c r="J17" i="16"/>
  <c r="G17" i="16"/>
  <c r="J16" i="16"/>
  <c r="G16" i="16"/>
  <c r="J15" i="16"/>
  <c r="G15" i="16"/>
  <c r="J14" i="16"/>
  <c r="G14" i="16"/>
  <c r="J13" i="16"/>
  <c r="G13" i="16"/>
  <c r="I12" i="16"/>
  <c r="J11" i="16"/>
  <c r="G11" i="16"/>
  <c r="I10" i="16"/>
  <c r="H10" i="16"/>
  <c r="J9" i="16"/>
  <c r="G9" i="16"/>
  <c r="I8" i="16"/>
  <c r="H8" i="16"/>
  <c r="J117" i="16" l="1"/>
  <c r="H98" i="16"/>
  <c r="I143" i="16"/>
  <c r="J156" i="16"/>
  <c r="H143" i="16"/>
  <c r="J30" i="16"/>
  <c r="J8" i="16"/>
  <c r="J10" i="16"/>
  <c r="J12" i="16"/>
  <c r="J28" i="16"/>
  <c r="J98" i="16"/>
  <c r="G113" i="16"/>
  <c r="J35" i="16"/>
  <c r="I60" i="16"/>
  <c r="J30" i="14"/>
  <c r="J32" i="14"/>
  <c r="J143" i="16" l="1"/>
  <c r="H60" i="16"/>
  <c r="J60" i="16" s="1"/>
  <c r="J21" i="14"/>
  <c r="J20" i="14"/>
  <c r="J12" i="14" l="1"/>
  <c r="J11" i="14"/>
  <c r="J19" i="14" l="1"/>
  <c r="J104" i="13"/>
  <c r="J103" i="13"/>
  <c r="J102" i="13"/>
  <c r="I105" i="13"/>
  <c r="H105" i="13"/>
  <c r="I101" i="13"/>
  <c r="J101" i="13" s="1"/>
  <c r="H101" i="13"/>
  <c r="J100" i="13"/>
  <c r="G100" i="13"/>
  <c r="J99" i="13"/>
  <c r="G99" i="13"/>
  <c r="I98" i="13"/>
  <c r="J98" i="13" s="1"/>
  <c r="H98" i="13"/>
  <c r="J97" i="13"/>
  <c r="G97" i="13"/>
  <c r="J96" i="13"/>
  <c r="G96" i="13"/>
  <c r="J95" i="13"/>
  <c r="G95" i="13"/>
  <c r="J94" i="13"/>
  <c r="G94" i="13"/>
  <c r="I93" i="13"/>
  <c r="J93" i="13" s="1"/>
  <c r="H93" i="13"/>
  <c r="J92" i="13"/>
  <c r="G92" i="13"/>
  <c r="J91" i="13"/>
  <c r="G91" i="13"/>
  <c r="I90" i="13"/>
  <c r="J90" i="13" s="1"/>
  <c r="H90" i="13"/>
  <c r="J88" i="13"/>
  <c r="G88" i="13"/>
  <c r="J87" i="13"/>
  <c r="G87" i="13"/>
  <c r="J86" i="13"/>
  <c r="G86" i="13"/>
  <c r="J85" i="13"/>
  <c r="G85" i="13"/>
  <c r="I84" i="13"/>
  <c r="H84" i="13"/>
  <c r="J83" i="13"/>
  <c r="G83" i="13"/>
  <c r="J82" i="13"/>
  <c r="G82" i="13"/>
  <c r="J81" i="13"/>
  <c r="G81" i="13"/>
  <c r="I80" i="13"/>
  <c r="J80" i="13" s="1"/>
  <c r="H80" i="13"/>
  <c r="H79" i="13" s="1"/>
  <c r="J84" i="13" l="1"/>
  <c r="I89" i="13"/>
  <c r="I79" i="13"/>
  <c r="I78" i="13" s="1"/>
  <c r="H89" i="13"/>
  <c r="H78" i="13" s="1"/>
  <c r="J105" i="13"/>
  <c r="J79" i="13"/>
  <c r="G10" i="14"/>
  <c r="J78" i="13" l="1"/>
  <c r="J89" i="13"/>
  <c r="G30" i="14"/>
  <c r="G32" i="14"/>
  <c r="G29" i="14"/>
  <c r="G28" i="14"/>
  <c r="G27" i="14"/>
  <c r="G26" i="14"/>
  <c r="G25" i="14"/>
  <c r="G24" i="14"/>
  <c r="G23" i="14"/>
  <c r="G22" i="14"/>
  <c r="G21" i="14"/>
  <c r="G20" i="14"/>
  <c r="G19" i="14"/>
  <c r="G18" i="14"/>
  <c r="G16" i="14"/>
  <c r="G15" i="14"/>
  <c r="G14" i="14"/>
  <c r="G13" i="14"/>
  <c r="G12" i="14"/>
  <c r="G11" i="14"/>
  <c r="G73" i="13" l="1"/>
  <c r="G72" i="13"/>
  <c r="G70"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39" i="11" l="1"/>
  <c r="J30" i="11" l="1"/>
  <c r="J81" i="10" l="1"/>
  <c r="J93" i="10" l="1"/>
  <c r="J92" i="10"/>
  <c r="J91" i="10"/>
  <c r="J90" i="10"/>
  <c r="J89" i="10"/>
  <c r="J88" i="10"/>
  <c r="J86" i="10"/>
  <c r="J87" i="10"/>
  <c r="G93" i="10"/>
  <c r="G92" i="10"/>
  <c r="G91" i="10"/>
  <c r="G90" i="10"/>
  <c r="G89" i="10"/>
  <c r="G88" i="10"/>
  <c r="G87" i="10"/>
  <c r="G86" i="10"/>
  <c r="J67" i="10"/>
  <c r="J66" i="10"/>
  <c r="J65" i="10"/>
  <c r="J64" i="10"/>
  <c r="J63" i="10"/>
  <c r="J62" i="10"/>
  <c r="J61" i="10"/>
  <c r="J60" i="10"/>
  <c r="J59" i="10"/>
  <c r="J58" i="10"/>
  <c r="J57" i="10"/>
  <c r="J56" i="10"/>
  <c r="J55" i="10"/>
  <c r="J54" i="10"/>
  <c r="J53" i="10"/>
  <c r="J52" i="10"/>
  <c r="J51" i="10"/>
  <c r="J50" i="10"/>
  <c r="J49" i="10"/>
  <c r="G45" i="10" l="1"/>
  <c r="I24" i="10" l="1"/>
  <c r="H24" i="10"/>
  <c r="J24" i="10" l="1"/>
  <c r="I17" i="10"/>
  <c r="G22" i="10" l="1"/>
  <c r="G23" i="10"/>
  <c r="G20" i="10" l="1"/>
  <c r="G18" i="10" l="1"/>
  <c r="H17" i="10"/>
  <c r="J17" i="10" s="1"/>
  <c r="J16" i="10" l="1"/>
  <c r="G16" i="10"/>
  <c r="J15" i="10"/>
  <c r="G15" i="10"/>
  <c r="J14" i="10"/>
  <c r="G14" i="10"/>
  <c r="I13" i="10"/>
  <c r="J13" i="10" s="1"/>
  <c r="J12" i="10"/>
  <c r="G12" i="10"/>
  <c r="J11" i="10"/>
  <c r="G11" i="10"/>
  <c r="J10" i="10"/>
  <c r="G10" i="10"/>
  <c r="I9" i="10"/>
  <c r="H9" i="10"/>
  <c r="H8" i="10" s="1"/>
  <c r="H7" i="10" s="1"/>
  <c r="I8" i="10" l="1"/>
  <c r="J8" i="10" s="1"/>
  <c r="J9" i="10"/>
  <c r="G117" i="9"/>
  <c r="G116" i="9"/>
  <c r="G115" i="9"/>
  <c r="G114" i="9"/>
  <c r="G113" i="9"/>
  <c r="G112" i="9"/>
  <c r="H20" i="8" l="1"/>
  <c r="H17" i="8" s="1"/>
  <c r="I17" i="8"/>
  <c r="I8" i="8"/>
  <c r="I7" i="8" s="1"/>
  <c r="H7" i="8" l="1"/>
  <c r="H299" i="3" l="1"/>
  <c r="J299" i="3" s="1"/>
  <c r="H297" i="3"/>
  <c r="J297" i="3" s="1"/>
  <c r="H295" i="3"/>
  <c r="H289" i="3"/>
  <c r="J289" i="3" s="1"/>
  <c r="H277" i="3"/>
  <c r="J277" i="3" s="1"/>
  <c r="H275" i="3"/>
  <c r="H266" i="3"/>
  <c r="J266" i="3" s="1"/>
  <c r="H262" i="3"/>
  <c r="J262" i="3" s="1"/>
  <c r="H256" i="3"/>
  <c r="J256" i="3" s="1"/>
  <c r="J250" i="3"/>
  <c r="H240" i="3"/>
  <c r="J240" i="3" s="1"/>
  <c r="H237" i="3"/>
  <c r="J237" i="3" s="1"/>
  <c r="H228" i="3"/>
  <c r="J275" i="3" l="1"/>
  <c r="H274" i="3"/>
  <c r="J274" i="3" s="1"/>
  <c r="J228" i="3"/>
  <c r="H31" i="6"/>
  <c r="H19" i="6" s="1"/>
  <c r="J30" i="6"/>
  <c r="J29" i="6"/>
  <c r="J28" i="6"/>
  <c r="J27" i="6"/>
  <c r="J26" i="6"/>
  <c r="J25" i="6"/>
  <c r="J24" i="6"/>
  <c r="J23" i="6"/>
  <c r="J22" i="6"/>
  <c r="J21" i="6"/>
  <c r="J20" i="6"/>
  <c r="I357" i="1"/>
  <c r="H227" i="3" l="1"/>
  <c r="H226" i="3" s="1"/>
  <c r="J31" i="6"/>
  <c r="J30" i="8"/>
  <c r="J36" i="3"/>
  <c r="J9" i="11"/>
  <c r="G9" i="11"/>
  <c r="J31" i="11"/>
  <c r="J226" i="3" l="1"/>
  <c r="J227" i="3"/>
  <c r="J19" i="11"/>
  <c r="J29" i="11" l="1"/>
  <c r="J35" i="11"/>
  <c r="J27" i="11"/>
  <c r="J25" i="11"/>
  <c r="G23" i="11"/>
  <c r="G22" i="11"/>
  <c r="G21" i="11"/>
  <c r="G20" i="11"/>
  <c r="G19" i="11"/>
  <c r="G18" i="11"/>
  <c r="G17" i="11"/>
  <c r="G16" i="11"/>
  <c r="G15" i="11"/>
  <c r="G14" i="11"/>
  <c r="G13" i="11"/>
  <c r="J24" i="11" l="1"/>
  <c r="J20" i="19"/>
  <c r="G25" i="3"/>
  <c r="G24" i="3"/>
  <c r="G23" i="3"/>
  <c r="G22" i="3"/>
  <c r="G21" i="3"/>
  <c r="G20" i="3"/>
  <c r="G19" i="3"/>
  <c r="G18" i="3"/>
  <c r="I24" i="3"/>
  <c r="J24" i="3" s="1"/>
  <c r="J25" i="3"/>
  <c r="J23" i="3"/>
  <c r="J22" i="3"/>
  <c r="J21" i="3"/>
  <c r="J20" i="3"/>
  <c r="J19" i="3"/>
  <c r="G17" i="3"/>
  <c r="I15" i="3"/>
  <c r="J16" i="3"/>
  <c r="I17" i="3" l="1"/>
  <c r="J17" i="3" l="1"/>
  <c r="I8" i="3"/>
  <c r="J14" i="3"/>
  <c r="J13" i="3"/>
  <c r="J12" i="3"/>
  <c r="J11" i="3"/>
  <c r="J10" i="3"/>
  <c r="J9" i="3"/>
  <c r="G14" i="3"/>
  <c r="G13" i="3"/>
  <c r="G12" i="3"/>
  <c r="G11" i="3"/>
  <c r="G10" i="3"/>
  <c r="G9" i="3"/>
  <c r="I7" i="3" l="1"/>
  <c r="I19" i="6" l="1"/>
  <c r="J19" i="6" l="1"/>
  <c r="H46" i="1"/>
  <c r="H64" i="2"/>
  <c r="J64" i="2" s="1"/>
  <c r="I92" i="2"/>
  <c r="H92" i="2"/>
  <c r="I90" i="2"/>
  <c r="H90" i="2"/>
  <c r="J90" i="2" s="1"/>
  <c r="I87" i="2"/>
  <c r="H87" i="2"/>
  <c r="I83" i="2"/>
  <c r="H83" i="2"/>
  <c r="I76" i="2"/>
  <c r="H76" i="2"/>
  <c r="J65" i="2"/>
  <c r="I63" i="2"/>
  <c r="I71" i="2"/>
  <c r="J71" i="2" s="1"/>
  <c r="H71" i="2"/>
  <c r="H67" i="2"/>
  <c r="J67" i="2" s="1"/>
  <c r="I67" i="2"/>
  <c r="J97" i="2"/>
  <c r="J96" i="2"/>
  <c r="J95" i="2"/>
  <c r="J94" i="2"/>
  <c r="J93" i="2"/>
  <c r="J91" i="2"/>
  <c r="J89" i="2"/>
  <c r="J88" i="2"/>
  <c r="J86" i="2"/>
  <c r="J85" i="2"/>
  <c r="J84" i="2"/>
  <c r="J81" i="2"/>
  <c r="J79" i="2"/>
  <c r="J78" i="2"/>
  <c r="J77" i="2"/>
  <c r="J75" i="2"/>
  <c r="J74" i="2"/>
  <c r="J73" i="2"/>
  <c r="J72" i="2"/>
  <c r="J70" i="2"/>
  <c r="J69" i="2"/>
  <c r="J68" i="2"/>
  <c r="G97" i="2"/>
  <c r="G96" i="2"/>
  <c r="G95" i="2"/>
  <c r="G94" i="2"/>
  <c r="G93" i="2"/>
  <c r="G91" i="2"/>
  <c r="G89" i="2"/>
  <c r="G88" i="2"/>
  <c r="G86" i="2"/>
  <c r="G85" i="2"/>
  <c r="G84" i="2"/>
  <c r="G82" i="2"/>
  <c r="G81" i="2"/>
  <c r="G80" i="2"/>
  <c r="G79" i="2"/>
  <c r="G78" i="2"/>
  <c r="G77" i="2"/>
  <c r="G75" i="2"/>
  <c r="G74" i="2"/>
  <c r="G73" i="2"/>
  <c r="G72" i="2"/>
  <c r="G70" i="2"/>
  <c r="G69" i="2"/>
  <c r="G68" i="2"/>
  <c r="G66" i="2"/>
  <c r="G65" i="2"/>
  <c r="G64" i="2"/>
  <c r="H63" i="2" l="1"/>
  <c r="H62" i="2" s="1"/>
  <c r="J76" i="2"/>
  <c r="J87" i="2"/>
  <c r="J92" i="2"/>
  <c r="J83" i="2"/>
  <c r="I62" i="2"/>
  <c r="J63" i="2" l="1"/>
  <c r="J62" i="2"/>
  <c r="G271" i="2"/>
  <c r="G274" i="2"/>
  <c r="J57" i="1"/>
  <c r="J56" i="1"/>
  <c r="J55" i="1"/>
  <c r="J53" i="1"/>
  <c r="J52" i="1"/>
  <c r="J51" i="1"/>
  <c r="J48" i="1"/>
  <c r="J47" i="1"/>
  <c r="J44" i="1"/>
  <c r="J42" i="1"/>
  <c r="J40" i="1"/>
  <c r="J39" i="1"/>
  <c r="J38" i="1"/>
  <c r="J37" i="1"/>
  <c r="G57" i="1"/>
  <c r="G56" i="1"/>
  <c r="G55" i="1"/>
  <c r="G53" i="1"/>
  <c r="G52" i="1"/>
  <c r="G51" i="1"/>
  <c r="G50" i="1"/>
  <c r="G48" i="1"/>
  <c r="G47" i="1"/>
  <c r="G45" i="1"/>
  <c r="G44" i="1"/>
  <c r="G42" i="1"/>
  <c r="G40" i="1"/>
  <c r="G39" i="1"/>
  <c r="G38" i="1"/>
  <c r="G37" i="1"/>
  <c r="I54" i="1"/>
  <c r="H54" i="1"/>
  <c r="I49" i="1"/>
  <c r="H49" i="1"/>
  <c r="I46" i="1"/>
  <c r="J46" i="1" s="1"/>
  <c r="I43" i="1"/>
  <c r="H43" i="1"/>
  <c r="I41" i="1"/>
  <c r="H41" i="1"/>
  <c r="I36" i="1"/>
  <c r="H36" i="1"/>
  <c r="J49" i="1" l="1"/>
  <c r="J36" i="1"/>
  <c r="J54" i="1"/>
  <c r="J43" i="1"/>
  <c r="J41" i="1"/>
  <c r="H35" i="1"/>
  <c r="I35" i="1"/>
  <c r="J45" i="5"/>
  <c r="J44" i="5"/>
  <c r="J43" i="5"/>
  <c r="J42" i="5"/>
  <c r="J41" i="5"/>
  <c r="J40" i="5"/>
  <c r="J39" i="5"/>
  <c r="J38" i="5"/>
  <c r="J37" i="5"/>
  <c r="J36" i="5"/>
  <c r="J29" i="5"/>
  <c r="J28" i="5"/>
  <c r="G51" i="5"/>
  <c r="G50" i="5"/>
  <c r="H49" i="5"/>
  <c r="J49" i="5" s="1"/>
  <c r="G45" i="5"/>
  <c r="G44" i="5"/>
  <c r="G43" i="5"/>
  <c r="G42" i="5"/>
  <c r="G41" i="5"/>
  <c r="G40" i="5"/>
  <c r="G39" i="5"/>
  <c r="G38" i="5"/>
  <c r="G37" i="5"/>
  <c r="G36" i="5"/>
  <c r="G35" i="5"/>
  <c r="G34" i="5"/>
  <c r="G33" i="5"/>
  <c r="G31" i="5"/>
  <c r="G30" i="5"/>
  <c r="G29" i="5"/>
  <c r="J35" i="1" l="1"/>
  <c r="J25" i="5"/>
  <c r="G25" i="5"/>
  <c r="J24" i="5"/>
  <c r="G24" i="5"/>
  <c r="J23" i="5"/>
  <c r="G23" i="5"/>
  <c r="J22" i="5"/>
  <c r="G22" i="5"/>
  <c r="J20" i="5"/>
  <c r="G20" i="5"/>
  <c r="J19" i="5"/>
  <c r="G19" i="5"/>
  <c r="J18" i="5"/>
  <c r="G18" i="5"/>
  <c r="J17" i="5"/>
  <c r="G17" i="5"/>
  <c r="J16" i="5"/>
  <c r="G16" i="5"/>
  <c r="I15" i="5"/>
  <c r="H15" i="5"/>
  <c r="J14" i="5"/>
  <c r="G14" i="5"/>
  <c r="J13" i="5"/>
  <c r="G13" i="5"/>
  <c r="J12" i="5"/>
  <c r="G12" i="5"/>
  <c r="J11" i="5"/>
  <c r="G11" i="5"/>
  <c r="J10" i="5"/>
  <c r="G10" i="5"/>
  <c r="J9" i="5"/>
  <c r="G9" i="5"/>
  <c r="I8" i="5"/>
  <c r="H8" i="5"/>
  <c r="J15" i="5" l="1"/>
  <c r="J21" i="5"/>
  <c r="H7" i="5"/>
  <c r="J8" i="5"/>
  <c r="I7" i="5"/>
  <c r="J7" i="5" l="1"/>
  <c r="I272" i="2" l="1"/>
  <c r="H272" i="2"/>
  <c r="J271" i="2"/>
  <c r="I270" i="2"/>
  <c r="I264" i="2"/>
  <c r="H264" i="2"/>
  <c r="I261" i="2"/>
  <c r="H261" i="2"/>
  <c r="J264" i="2" l="1"/>
  <c r="J272" i="2"/>
  <c r="J261" i="2"/>
  <c r="G269" i="2"/>
  <c r="G268" i="2"/>
  <c r="I259" i="2" l="1"/>
  <c r="I256" i="2"/>
  <c r="G265" i="2"/>
  <c r="J258" i="2"/>
  <c r="G258" i="2" l="1"/>
  <c r="G257" i="2"/>
  <c r="I48" i="2" l="1"/>
  <c r="I43" i="2"/>
  <c r="I39" i="2"/>
  <c r="I35" i="2"/>
  <c r="I30" i="2"/>
  <c r="I23" i="2"/>
  <c r="I19" i="2"/>
  <c r="I17" i="2"/>
  <c r="I13" i="2"/>
  <c r="I9" i="2"/>
  <c r="I53" i="2"/>
  <c r="H53" i="2"/>
  <c r="H48" i="2"/>
  <c r="H43" i="2"/>
  <c r="H39" i="2"/>
  <c r="H35" i="2"/>
  <c r="H30" i="2"/>
  <c r="H23" i="2"/>
  <c r="H19" i="2"/>
  <c r="H17" i="2"/>
  <c r="H9" i="2"/>
  <c r="J61" i="2"/>
  <c r="J60" i="2"/>
  <c r="J59" i="2"/>
  <c r="J58" i="2"/>
  <c r="J57" i="2"/>
  <c r="J56" i="2"/>
  <c r="J55" i="2"/>
  <c r="J54" i="2"/>
  <c r="J51" i="2"/>
  <c r="J50" i="2"/>
  <c r="J47" i="2"/>
  <c r="J46" i="2"/>
  <c r="J45" i="2"/>
  <c r="J44" i="2"/>
  <c r="J40" i="2"/>
  <c r="J37" i="2"/>
  <c r="J36" i="2"/>
  <c r="J31" i="2"/>
  <c r="J29" i="2"/>
  <c r="J28" i="2"/>
  <c r="J26" i="2"/>
  <c r="J25" i="2"/>
  <c r="J24" i="2"/>
  <c r="J22" i="2"/>
  <c r="J21" i="2"/>
  <c r="J20" i="2"/>
  <c r="J18" i="2"/>
  <c r="J16" i="2"/>
  <c r="J15" i="2"/>
  <c r="J14" i="2"/>
  <c r="J12" i="2"/>
  <c r="J11" i="2"/>
  <c r="J10" i="2"/>
  <c r="G61" i="2"/>
  <c r="G60" i="2"/>
  <c r="G59" i="2"/>
  <c r="G58" i="2"/>
  <c r="G57" i="2"/>
  <c r="G56" i="2"/>
  <c r="G55" i="2"/>
  <c r="G54" i="2"/>
  <c r="G52" i="2"/>
  <c r="G51" i="2"/>
  <c r="G50" i="2"/>
  <c r="G49" i="2"/>
  <c r="G47" i="2"/>
  <c r="G46" i="2"/>
  <c r="G45" i="2"/>
  <c r="G44" i="2"/>
  <c r="G42" i="2"/>
  <c r="G41" i="2"/>
  <c r="G40" i="2"/>
  <c r="G38" i="2"/>
  <c r="G37" i="2"/>
  <c r="G36" i="2"/>
  <c r="G34" i="2"/>
  <c r="G33" i="2"/>
  <c r="G32" i="2"/>
  <c r="G31" i="2"/>
  <c r="G29" i="2"/>
  <c r="G28" i="2"/>
  <c r="G27" i="2"/>
  <c r="G26" i="2"/>
  <c r="G25" i="2"/>
  <c r="G24" i="2"/>
  <c r="G22" i="2"/>
  <c r="G21" i="2"/>
  <c r="G20" i="2"/>
  <c r="G18" i="2"/>
  <c r="G16" i="2"/>
  <c r="G15" i="2"/>
  <c r="G14" i="2"/>
  <c r="G12" i="2"/>
  <c r="G11" i="2"/>
  <c r="G10" i="2"/>
  <c r="J23" i="2" l="1"/>
  <c r="J53" i="2"/>
  <c r="J39" i="2"/>
  <c r="I8" i="2"/>
  <c r="J13" i="2"/>
  <c r="H8" i="2"/>
  <c r="J17" i="2"/>
  <c r="J30" i="2"/>
  <c r="J48" i="2"/>
  <c r="J43" i="2"/>
  <c r="J19" i="2"/>
  <c r="J35" i="2"/>
  <c r="J9" i="2"/>
  <c r="G260" i="2"/>
  <c r="J8" i="2" l="1"/>
  <c r="J248" i="1"/>
  <c r="J368" i="1" l="1"/>
  <c r="J365" i="1"/>
  <c r="J361" i="1"/>
  <c r="J359" i="1" l="1"/>
  <c r="H338" i="1" l="1"/>
  <c r="G320" i="1" l="1"/>
  <c r="G319" i="1"/>
  <c r="G318" i="1"/>
  <c r="G317" i="1"/>
  <c r="G316" i="1"/>
  <c r="G315" i="1"/>
  <c r="G314" i="1"/>
  <c r="G313" i="1"/>
  <c r="G312" i="1"/>
  <c r="G311" i="1"/>
  <c r="G310" i="1"/>
  <c r="G309" i="1"/>
  <c r="G308" i="1"/>
  <c r="G307" i="1"/>
  <c r="G306" i="1"/>
  <c r="G305" i="1"/>
  <c r="G304" i="1"/>
  <c r="G303" i="1"/>
  <c r="G302" i="1"/>
  <c r="G301" i="1"/>
  <c r="G300" i="1"/>
  <c r="G299" i="1"/>
  <c r="I286" i="1" l="1"/>
  <c r="J303" i="1"/>
  <c r="J249" i="1"/>
  <c r="G260" i="1"/>
  <c r="G259" i="1"/>
  <c r="G258" i="1"/>
  <c r="G257" i="1"/>
  <c r="G256" i="1"/>
  <c r="G255" i="1"/>
  <c r="G254" i="1"/>
  <c r="G253" i="1"/>
  <c r="G252" i="1"/>
  <c r="G251" i="1"/>
  <c r="G250" i="1"/>
  <c r="G249" i="1"/>
  <c r="J286" i="1" l="1"/>
  <c r="G247" i="1"/>
  <c r="G245" i="1"/>
  <c r="G244" i="1"/>
  <c r="G243" i="1"/>
  <c r="G242" i="1"/>
  <c r="G241" i="1"/>
  <c r="H58" i="1" l="1"/>
  <c r="J58" i="1" s="1"/>
  <c r="H40" i="11" l="1"/>
  <c r="I40" i="11"/>
  <c r="I38" i="11" l="1"/>
  <c r="J40" i="11"/>
  <c r="I269" i="2"/>
  <c r="H269" i="2"/>
  <c r="I268" i="2"/>
  <c r="I267" i="2" s="1"/>
  <c r="H268" i="2"/>
  <c r="H267" i="2" s="1"/>
  <c r="J39" i="19"/>
  <c r="J80" i="10"/>
  <c r="J79" i="10"/>
  <c r="J78" i="10"/>
  <c r="J77" i="10"/>
  <c r="J76" i="10"/>
  <c r="J73" i="10"/>
  <c r="J71" i="10"/>
  <c r="J69" i="10"/>
  <c r="I70" i="10"/>
  <c r="H70" i="10"/>
  <c r="J38" i="19"/>
  <c r="I68" i="10"/>
  <c r="I46" i="10" s="1"/>
  <c r="H68" i="10"/>
  <c r="H46" i="10" s="1"/>
  <c r="J47" i="10"/>
  <c r="J356" i="1"/>
  <c r="J354" i="1"/>
  <c r="J352" i="1"/>
  <c r="I350" i="1"/>
  <c r="H350" i="1"/>
  <c r="J319" i="1"/>
  <c r="I338" i="1"/>
  <c r="J302" i="1"/>
  <c r="J301" i="1"/>
  <c r="J299" i="1"/>
  <c r="J266" i="2"/>
  <c r="J23" i="10"/>
  <c r="J20" i="10"/>
  <c r="J46" i="11"/>
  <c r="J36" i="19"/>
  <c r="J284" i="1"/>
  <c r="J283" i="1"/>
  <c r="J276" i="1"/>
  <c r="J297" i="1"/>
  <c r="J46" i="10" l="1"/>
  <c r="J68" i="10"/>
  <c r="J268" i="2"/>
  <c r="J269" i="2"/>
  <c r="J350" i="1"/>
  <c r="J285" i="1"/>
  <c r="J274" i="2"/>
  <c r="J26" i="10"/>
  <c r="I303" i="3"/>
  <c r="H303" i="3"/>
  <c r="J33" i="19"/>
  <c r="I245" i="1"/>
  <c r="I240" i="1" s="1"/>
  <c r="H245" i="1"/>
  <c r="H247" i="1"/>
  <c r="H246" i="1" s="1"/>
  <c r="I247" i="1"/>
  <c r="I246" i="1" s="1"/>
  <c r="H244" i="1"/>
  <c r="J244" i="1" s="1"/>
  <c r="J243" i="1"/>
  <c r="H241" i="1"/>
  <c r="J257" i="2"/>
  <c r="J18" i="10"/>
  <c r="J74" i="13"/>
  <c r="H43" i="11"/>
  <c r="H41" i="11" s="1"/>
  <c r="J41" i="11" s="1"/>
  <c r="J28" i="19"/>
  <c r="J376" i="1"/>
  <c r="J375" i="1"/>
  <c r="J374" i="1"/>
  <c r="J260" i="2"/>
  <c r="I73" i="13"/>
  <c r="I69" i="13" s="1"/>
  <c r="I8" i="13" s="1"/>
  <c r="I7" i="13" s="1"/>
  <c r="H73" i="13"/>
  <c r="J72" i="13"/>
  <c r="J70" i="13"/>
  <c r="J122" i="9"/>
  <c r="J118" i="9"/>
  <c r="J116" i="9"/>
  <c r="J120" i="9"/>
  <c r="H43" i="10"/>
  <c r="H45" i="10"/>
  <c r="J45" i="10" s="1"/>
  <c r="J42" i="10"/>
  <c r="J41" i="10"/>
  <c r="J40" i="10"/>
  <c r="J39" i="10"/>
  <c r="J38" i="10"/>
  <c r="J37" i="10"/>
  <c r="J36" i="10"/>
  <c r="J35" i="10"/>
  <c r="J34" i="10"/>
  <c r="J33" i="10"/>
  <c r="J32" i="10"/>
  <c r="J31" i="10"/>
  <c r="J30" i="10"/>
  <c r="J29" i="10"/>
  <c r="J28" i="10"/>
  <c r="J43" i="10" l="1"/>
  <c r="J69" i="13"/>
  <c r="J309" i="3"/>
  <c r="J241" i="1"/>
  <c r="H240" i="1"/>
  <c r="J240" i="1" s="1"/>
  <c r="H36" i="11"/>
  <c r="J36" i="11" s="1"/>
  <c r="J33" i="11"/>
  <c r="I7" i="11" l="1"/>
  <c r="J26" i="11"/>
  <c r="J17" i="11"/>
  <c r="J29" i="8"/>
  <c r="J28" i="8"/>
  <c r="J39" i="11"/>
  <c r="J351" i="1"/>
  <c r="J338" i="1"/>
  <c r="J373" i="1"/>
  <c r="J309" i="1" l="1"/>
  <c r="I321" i="1"/>
  <c r="I298" i="1" s="1"/>
  <c r="H321" i="1"/>
  <c r="H298" i="1" s="1"/>
  <c r="I22" i="10"/>
  <c r="I7" i="10" s="1"/>
  <c r="H22" i="10"/>
  <c r="H19" i="10" s="1"/>
  <c r="I19" i="10" l="1"/>
  <c r="J7" i="10"/>
  <c r="J298" i="1"/>
  <c r="J22" i="10"/>
  <c r="J321" i="1"/>
  <c r="H370" i="1"/>
  <c r="J370" i="1" s="1"/>
  <c r="H372" i="1"/>
  <c r="J372" i="1" s="1"/>
  <c r="I363" i="1"/>
  <c r="H363" i="1"/>
  <c r="I366" i="1"/>
  <c r="H366" i="1"/>
  <c r="H360" i="1" l="1"/>
  <c r="J366" i="1"/>
  <c r="J363" i="1"/>
  <c r="I360" i="1"/>
  <c r="J20" i="1"/>
  <c r="J18" i="1"/>
  <c r="J16" i="1"/>
  <c r="J14" i="1"/>
  <c r="J12" i="1"/>
  <c r="J11" i="1"/>
  <c r="G12" i="1"/>
  <c r="G11" i="1"/>
  <c r="I19" i="1"/>
  <c r="H19" i="1"/>
  <c r="I17" i="1"/>
  <c r="I15" i="1"/>
  <c r="H15" i="1"/>
  <c r="I13" i="1"/>
  <c r="H13" i="1"/>
  <c r="I10" i="1"/>
  <c r="H10" i="1"/>
  <c r="J19" i="1" l="1"/>
  <c r="J10" i="1"/>
  <c r="J17" i="1"/>
  <c r="J15" i="1"/>
  <c r="J13" i="1"/>
  <c r="J362" i="1"/>
  <c r="H9" i="1"/>
  <c r="H8" i="1" s="1"/>
  <c r="I9" i="1"/>
  <c r="J9" i="1" l="1"/>
  <c r="I121" i="9"/>
  <c r="H121" i="9"/>
  <c r="J121" i="9" l="1"/>
  <c r="I123" i="9"/>
  <c r="I119" i="9" s="1"/>
  <c r="H123" i="9"/>
  <c r="J114" i="9"/>
  <c r="J113" i="9"/>
  <c r="I112" i="9"/>
  <c r="H112" i="9"/>
  <c r="I115" i="9"/>
  <c r="H115" i="9"/>
  <c r="H110" i="9" l="1"/>
  <c r="I110" i="9"/>
  <c r="J112" i="9"/>
  <c r="J123" i="9"/>
  <c r="I44" i="10"/>
  <c r="H44" i="10"/>
  <c r="H27" i="10" s="1"/>
  <c r="H38" i="11"/>
  <c r="H13" i="11"/>
  <c r="H12" i="11" s="1"/>
  <c r="H7" i="11" l="1"/>
  <c r="J7" i="11" s="1"/>
  <c r="J13" i="11"/>
  <c r="J110" i="9"/>
  <c r="J38" i="11"/>
  <c r="J44" i="10"/>
  <c r="I27" i="10"/>
  <c r="J27" i="10" s="1"/>
  <c r="J27" i="19"/>
  <c r="J70" i="10" l="1"/>
  <c r="J265" i="2"/>
  <c r="G263" i="2"/>
  <c r="G262" i="2"/>
  <c r="J263" i="2"/>
  <c r="J262" i="2"/>
  <c r="J223" i="3" l="1"/>
  <c r="J35" i="19"/>
  <c r="J282" i="1" l="1"/>
  <c r="J287" i="1"/>
  <c r="J261" i="1"/>
  <c r="J32" i="19"/>
  <c r="J25" i="10"/>
  <c r="G308" i="3"/>
  <c r="G307" i="3"/>
  <c r="G306" i="3"/>
  <c r="G305" i="3"/>
  <c r="J304" i="3"/>
  <c r="J303" i="3" s="1"/>
  <c r="G304" i="3"/>
  <c r="G26" i="8"/>
  <c r="G25" i="8"/>
  <c r="G24" i="8"/>
  <c r="G23" i="8"/>
  <c r="J22" i="8"/>
  <c r="G22" i="8"/>
  <c r="J21" i="8"/>
  <c r="I21" i="8"/>
  <c r="J31" i="19" l="1"/>
  <c r="J245" i="1"/>
  <c r="J247" i="1"/>
  <c r="J26" i="19"/>
  <c r="J371" i="1"/>
  <c r="I8" i="1" l="1"/>
  <c r="J8" i="1" l="1"/>
  <c r="J21" i="1"/>
  <c r="J73" i="13" l="1"/>
  <c r="J115" i="9" l="1"/>
  <c r="J37" i="11"/>
  <c r="I81" i="17" l="1"/>
  <c r="J91" i="17"/>
  <c r="J90" i="17"/>
  <c r="J89" i="17"/>
  <c r="J88" i="17"/>
  <c r="J87" i="17"/>
  <c r="J86" i="17"/>
  <c r="J85" i="17"/>
  <c r="J83" i="17"/>
  <c r="J82" i="17"/>
  <c r="H81" i="17"/>
  <c r="G91" i="17"/>
  <c r="G89" i="17"/>
  <c r="G88" i="17"/>
  <c r="G87" i="17"/>
  <c r="G86" i="17"/>
  <c r="G85" i="17"/>
  <c r="G84" i="17"/>
  <c r="G83" i="17"/>
  <c r="G82" i="17"/>
  <c r="J81" i="17" l="1"/>
  <c r="G237" i="1"/>
  <c r="G239" i="1"/>
  <c r="G238" i="1"/>
  <c r="G235" i="1"/>
  <c r="G234" i="1"/>
  <c r="G233" i="1"/>
  <c r="G231" i="1"/>
  <c r="G230" i="1"/>
  <c r="G229" i="1"/>
  <c r="G228" i="1"/>
  <c r="G227" i="1"/>
  <c r="I229" i="1"/>
  <c r="J229" i="1" s="1"/>
  <c r="I228" i="1"/>
  <c r="J228" i="1" s="1"/>
  <c r="I227" i="1"/>
  <c r="J227" i="1" s="1"/>
  <c r="I239" i="1"/>
  <c r="J239" i="1" s="1"/>
  <c r="I238" i="1"/>
  <c r="J238" i="1" s="1"/>
  <c r="I237" i="1"/>
  <c r="I235" i="1"/>
  <c r="J235" i="1" s="1"/>
  <c r="I234" i="1"/>
  <c r="J234" i="1" s="1"/>
  <c r="I233" i="1"/>
  <c r="I231" i="1"/>
  <c r="J231" i="1" s="1"/>
  <c r="I230" i="1"/>
  <c r="J230" i="1" s="1"/>
  <c r="H236" i="1"/>
  <c r="H232" i="1"/>
  <c r="H34" i="6"/>
  <c r="H35" i="6"/>
  <c r="H43" i="6"/>
  <c r="H42" i="6"/>
  <c r="H41" i="6"/>
  <c r="H40" i="6"/>
  <c r="H39" i="6"/>
  <c r="H37" i="6"/>
  <c r="H36" i="6"/>
  <c r="H33" i="6"/>
  <c r="I236" i="1" l="1"/>
  <c r="J236" i="1" s="1"/>
  <c r="J237" i="1"/>
  <c r="H226" i="1"/>
  <c r="I232" i="1"/>
  <c r="J232" i="1" s="1"/>
  <c r="J233" i="1"/>
  <c r="I32" i="6"/>
  <c r="I7" i="6" s="1"/>
  <c r="I226" i="1" l="1"/>
  <c r="J226" i="1" l="1"/>
  <c r="J33" i="6"/>
  <c r="J44" i="6"/>
  <c r="J35" i="6"/>
  <c r="J38" i="6"/>
  <c r="J34" i="6"/>
  <c r="J43" i="6"/>
  <c r="J39" i="6"/>
  <c r="J40" i="6"/>
  <c r="J41" i="6"/>
  <c r="J42" i="6"/>
  <c r="J37" i="6"/>
  <c r="J36" i="6"/>
  <c r="H38" i="17" l="1"/>
  <c r="J38" i="17" s="1"/>
  <c r="H36" i="17"/>
  <c r="J36" i="17" s="1"/>
  <c r="H31" i="17" l="1"/>
  <c r="J31" i="17" l="1"/>
  <c r="H9" i="17"/>
  <c r="J8" i="13"/>
  <c r="H7" i="13"/>
  <c r="J7" i="13" s="1"/>
  <c r="J12" i="11"/>
  <c r="J19" i="10"/>
  <c r="H119" i="9"/>
  <c r="J119" i="9" s="1"/>
  <c r="H270" i="2" l="1"/>
  <c r="J270" i="2" s="1"/>
  <c r="J267" i="2"/>
  <c r="H259" i="2"/>
  <c r="J259" i="2" s="1"/>
  <c r="H256" i="2"/>
  <c r="J256" i="2" s="1"/>
  <c r="J360" i="1"/>
  <c r="H357" i="1"/>
  <c r="J357" i="1" s="1"/>
  <c r="J246" i="1"/>
  <c r="D135" i="20" l="1"/>
  <c r="C135" i="20"/>
  <c r="D134" i="20"/>
  <c r="E134" i="20" s="1"/>
  <c r="C134" i="20"/>
  <c r="D133" i="20"/>
  <c r="C133" i="20"/>
  <c r="D132" i="20"/>
  <c r="C132" i="20"/>
  <c r="D131" i="20"/>
  <c r="C131" i="20"/>
  <c r="D130" i="20"/>
  <c r="C130" i="20"/>
  <c r="D129" i="20"/>
  <c r="C129" i="20"/>
  <c r="D128" i="20"/>
  <c r="C128" i="20"/>
  <c r="D127" i="20"/>
  <c r="C127" i="20"/>
  <c r="D125" i="20"/>
  <c r="C125" i="20"/>
  <c r="C124" i="20" s="1"/>
  <c r="D123" i="20"/>
  <c r="C123" i="20"/>
  <c r="D122" i="20"/>
  <c r="C122" i="20"/>
  <c r="D121" i="20"/>
  <c r="C121" i="20"/>
  <c r="D120" i="20"/>
  <c r="C120" i="20"/>
  <c r="D118" i="20"/>
  <c r="C118" i="20"/>
  <c r="D117" i="20"/>
  <c r="C117" i="20"/>
  <c r="D116" i="20"/>
  <c r="C116" i="20"/>
  <c r="D115" i="20"/>
  <c r="C115" i="20"/>
  <c r="D114" i="20"/>
  <c r="C114" i="20"/>
  <c r="D113" i="20"/>
  <c r="C113" i="20"/>
  <c r="D112" i="20"/>
  <c r="C112" i="20"/>
  <c r="D111" i="20"/>
  <c r="E111" i="20" s="1"/>
  <c r="C111" i="20"/>
  <c r="D110" i="20"/>
  <c r="C110" i="20"/>
  <c r="D109" i="20"/>
  <c r="E109" i="20" s="1"/>
  <c r="C109" i="20"/>
  <c r="D108" i="20"/>
  <c r="E108" i="20" s="1"/>
  <c r="C108" i="20"/>
  <c r="D107" i="20"/>
  <c r="C107" i="20"/>
  <c r="D106" i="20"/>
  <c r="C106" i="20"/>
  <c r="D105" i="20"/>
  <c r="C105" i="20"/>
  <c r="D104" i="20"/>
  <c r="C104" i="20"/>
  <c r="D103" i="20"/>
  <c r="C103" i="20"/>
  <c r="D102" i="20"/>
  <c r="C102" i="20"/>
  <c r="D101" i="20"/>
  <c r="C101" i="20"/>
  <c r="D100" i="20"/>
  <c r="C100" i="20"/>
  <c r="D99" i="20"/>
  <c r="C99" i="20"/>
  <c r="D98" i="20"/>
  <c r="C98" i="20"/>
  <c r="D97" i="20"/>
  <c r="C97" i="20"/>
  <c r="D96" i="20"/>
  <c r="C96" i="20"/>
  <c r="D95" i="20"/>
  <c r="C95" i="20"/>
  <c r="D94" i="20"/>
  <c r="C94" i="20"/>
  <c r="D93" i="20"/>
  <c r="C93" i="20"/>
  <c r="D92" i="20"/>
  <c r="C92" i="20"/>
  <c r="D90" i="20"/>
  <c r="D89" i="20" s="1"/>
  <c r="C90" i="20"/>
  <c r="C89" i="20" s="1"/>
  <c r="D88" i="20"/>
  <c r="C88" i="20"/>
  <c r="D87" i="20"/>
  <c r="C87" i="20"/>
  <c r="D86" i="20"/>
  <c r="C86" i="20"/>
  <c r="D84" i="20"/>
  <c r="C84" i="20"/>
  <c r="D83" i="20"/>
  <c r="C83" i="20"/>
  <c r="D81" i="20"/>
  <c r="C81" i="20"/>
  <c r="D80" i="20"/>
  <c r="C80" i="20"/>
  <c r="D79" i="20"/>
  <c r="C79" i="20"/>
  <c r="D78" i="20"/>
  <c r="C78" i="20"/>
  <c r="D77" i="20"/>
  <c r="C77" i="20"/>
  <c r="D76" i="20"/>
  <c r="C76" i="20"/>
  <c r="D74" i="20"/>
  <c r="C74" i="20"/>
  <c r="D73" i="20"/>
  <c r="C73" i="20"/>
  <c r="D72" i="20"/>
  <c r="C72" i="20"/>
  <c r="D71" i="20"/>
  <c r="C71" i="20"/>
  <c r="D70" i="20"/>
  <c r="C70" i="20"/>
  <c r="D68" i="20"/>
  <c r="C68" i="20"/>
  <c r="D67" i="20"/>
  <c r="C67" i="20"/>
  <c r="D66" i="20"/>
  <c r="C66" i="20"/>
  <c r="D65" i="20"/>
  <c r="C65" i="20"/>
  <c r="D64" i="20"/>
  <c r="C64" i="20"/>
  <c r="D62" i="20"/>
  <c r="C62" i="20"/>
  <c r="D61" i="20"/>
  <c r="C61" i="20"/>
  <c r="D60" i="20"/>
  <c r="C60" i="20"/>
  <c r="D58" i="20"/>
  <c r="C58" i="20"/>
  <c r="D57" i="20"/>
  <c r="C57" i="20"/>
  <c r="D56" i="20"/>
  <c r="C56" i="20"/>
  <c r="D55" i="20"/>
  <c r="C55" i="20"/>
  <c r="D54" i="20"/>
  <c r="C54" i="20"/>
  <c r="D53" i="20"/>
  <c r="C53" i="20"/>
  <c r="D51" i="20"/>
  <c r="C51" i="20"/>
  <c r="C50" i="20" s="1"/>
  <c r="D49" i="20"/>
  <c r="C49" i="20"/>
  <c r="D48" i="20"/>
  <c r="C48" i="20"/>
  <c r="D46" i="20"/>
  <c r="C46" i="20"/>
  <c r="D45" i="20"/>
  <c r="C45" i="20"/>
  <c r="D44" i="20"/>
  <c r="C44" i="20"/>
  <c r="D43" i="20"/>
  <c r="C43" i="20"/>
  <c r="D41" i="20"/>
  <c r="C41" i="20"/>
  <c r="D40" i="20"/>
  <c r="C40" i="20"/>
  <c r="D39" i="20"/>
  <c r="C39" i="20"/>
  <c r="D38" i="20"/>
  <c r="C38" i="20"/>
  <c r="D37" i="20"/>
  <c r="C37" i="20"/>
  <c r="D36" i="20"/>
  <c r="C36" i="20"/>
  <c r="D35" i="20"/>
  <c r="C35" i="20"/>
  <c r="D34" i="20"/>
  <c r="C34" i="20"/>
  <c r="D33" i="20"/>
  <c r="C33" i="20"/>
  <c r="D32" i="20"/>
  <c r="C32" i="20"/>
  <c r="D31" i="20"/>
  <c r="C31" i="20"/>
  <c r="D30" i="20"/>
  <c r="C30" i="20"/>
  <c r="D29" i="20"/>
  <c r="C29" i="20"/>
  <c r="D27" i="20"/>
  <c r="C27" i="20"/>
  <c r="D26" i="20"/>
  <c r="C26" i="20"/>
  <c r="D25" i="20"/>
  <c r="C25" i="20"/>
  <c r="D24" i="20"/>
  <c r="C24" i="20"/>
  <c r="D23" i="20"/>
  <c r="C23" i="20"/>
  <c r="D22" i="20"/>
  <c r="C22" i="20"/>
  <c r="D21" i="20"/>
  <c r="C21" i="20"/>
  <c r="D20" i="20"/>
  <c r="C20" i="20"/>
  <c r="D19" i="20"/>
  <c r="C19" i="20"/>
  <c r="D18" i="20"/>
  <c r="C18" i="20"/>
  <c r="D17" i="20"/>
  <c r="C17" i="20"/>
  <c r="D16" i="20"/>
  <c r="C16" i="20"/>
  <c r="D15" i="20"/>
  <c r="C15" i="20"/>
  <c r="D14" i="20"/>
  <c r="C14" i="20"/>
  <c r="D13" i="20"/>
  <c r="C13" i="20"/>
  <c r="D12" i="20"/>
  <c r="C12" i="20"/>
  <c r="D11" i="20"/>
  <c r="C11" i="20"/>
  <c r="D10" i="20"/>
  <c r="C10" i="20"/>
  <c r="D9" i="20"/>
  <c r="C9" i="20"/>
  <c r="D8" i="20"/>
  <c r="C8" i="20"/>
  <c r="D7" i="20"/>
  <c r="C7" i="20"/>
  <c r="D6" i="20"/>
  <c r="C6" i="20"/>
  <c r="E98" i="20" l="1"/>
  <c r="E6" i="20"/>
  <c r="E8" i="20"/>
  <c r="E10" i="20"/>
  <c r="E12" i="20"/>
  <c r="E14" i="20"/>
  <c r="E16" i="20"/>
  <c r="E18" i="20"/>
  <c r="E20" i="20"/>
  <c r="E22" i="20"/>
  <c r="E24" i="20"/>
  <c r="E26" i="20"/>
  <c r="E100" i="20"/>
  <c r="E106" i="20"/>
  <c r="D63" i="20"/>
  <c r="D75" i="20"/>
  <c r="D69" i="20"/>
  <c r="E112" i="20"/>
  <c r="C28" i="20"/>
  <c r="C42" i="20"/>
  <c r="E128" i="20"/>
  <c r="E132" i="20"/>
  <c r="E135" i="20"/>
  <c r="E7" i="20"/>
  <c r="E9" i="20"/>
  <c r="E11" i="20"/>
  <c r="E13" i="20"/>
  <c r="E15" i="20"/>
  <c r="E17" i="20"/>
  <c r="E19" i="20"/>
  <c r="E21" i="20"/>
  <c r="E23" i="20"/>
  <c r="E44" i="20"/>
  <c r="E46" i="20"/>
  <c r="E92" i="20"/>
  <c r="E48" i="20"/>
  <c r="E58" i="20"/>
  <c r="D5" i="20"/>
  <c r="C59" i="20"/>
  <c r="C75" i="20"/>
  <c r="E75" i="20" s="1"/>
  <c r="C82" i="20"/>
  <c r="D91" i="20"/>
  <c r="E96" i="20"/>
  <c r="E104" i="20"/>
  <c r="E114" i="20"/>
  <c r="E116" i="20"/>
  <c r="E118" i="20"/>
  <c r="E130" i="20"/>
  <c r="E93" i="20"/>
  <c r="E95" i="20"/>
  <c r="E101" i="20"/>
  <c r="E103" i="20"/>
  <c r="E127" i="20"/>
  <c r="E129" i="20"/>
  <c r="D47" i="20"/>
  <c r="E55" i="20"/>
  <c r="E57" i="20"/>
  <c r="D85" i="20"/>
  <c r="D119" i="20"/>
  <c r="E122" i="20"/>
  <c r="E53" i="20"/>
  <c r="E94" i="20"/>
  <c r="E97" i="20"/>
  <c r="E99" i="20"/>
  <c r="E110" i="20"/>
  <c r="E113" i="20"/>
  <c r="E115" i="20"/>
  <c r="E117" i="20"/>
  <c r="E120" i="20"/>
  <c r="E123" i="20"/>
  <c r="E43" i="20"/>
  <c r="E45" i="20"/>
  <c r="C47" i="20"/>
  <c r="E102" i="20"/>
  <c r="E105" i="20"/>
  <c r="E107" i="20"/>
  <c r="E131" i="20"/>
  <c r="E133" i="20"/>
  <c r="E25" i="20"/>
  <c r="E27" i="20"/>
  <c r="C91" i="20"/>
  <c r="E121" i="20"/>
  <c r="E125" i="20"/>
  <c r="D42" i="20"/>
  <c r="E42" i="20" s="1"/>
  <c r="C69" i="20"/>
  <c r="E90" i="20"/>
  <c r="E89" i="20" s="1"/>
  <c r="E29" i="20"/>
  <c r="E31" i="20"/>
  <c r="E37" i="20"/>
  <c r="E39" i="20"/>
  <c r="E41" i="20"/>
  <c r="C63" i="20"/>
  <c r="E63" i="20" s="1"/>
  <c r="D82" i="20"/>
  <c r="E82" i="20" s="1"/>
  <c r="C85" i="20"/>
  <c r="E85" i="20" s="1"/>
  <c r="C119" i="20"/>
  <c r="E119" i="20" s="1"/>
  <c r="D124" i="20"/>
  <c r="E124" i="20" s="1"/>
  <c r="C126" i="20"/>
  <c r="E30" i="20"/>
  <c r="E32" i="20"/>
  <c r="C52" i="20"/>
  <c r="D126" i="20"/>
  <c r="C5" i="20"/>
  <c r="D28" i="20"/>
  <c r="E33" i="20"/>
  <c r="E34" i="20"/>
  <c r="E35" i="20"/>
  <c r="E36" i="20"/>
  <c r="E40" i="20"/>
  <c r="D50" i="20"/>
  <c r="E51" i="20"/>
  <c r="E54" i="20"/>
  <c r="E60" i="20"/>
  <c r="E62" i="20"/>
  <c r="E64" i="20"/>
  <c r="E66" i="20"/>
  <c r="E68" i="20"/>
  <c r="E70" i="20"/>
  <c r="E72" i="20"/>
  <c r="E74" i="20"/>
  <c r="E76" i="20"/>
  <c r="E78" i="20"/>
  <c r="E80" i="20"/>
  <c r="E84" i="20"/>
  <c r="E86" i="20"/>
  <c r="E88" i="20"/>
  <c r="D52" i="20"/>
  <c r="E38" i="20"/>
  <c r="E49" i="20"/>
  <c r="E56" i="20"/>
  <c r="E61" i="20"/>
  <c r="D59" i="20"/>
  <c r="E65" i="20"/>
  <c r="E67" i="20"/>
  <c r="E71" i="20"/>
  <c r="E73" i="20"/>
  <c r="E77" i="20"/>
  <c r="E79" i="20"/>
  <c r="E81" i="20"/>
  <c r="E83" i="20"/>
  <c r="E87" i="20"/>
  <c r="E69" i="20" l="1"/>
  <c r="E47" i="20"/>
  <c r="E91" i="20"/>
  <c r="E5" i="20"/>
  <c r="E126" i="20"/>
  <c r="D136" i="20"/>
  <c r="F34" i="20" s="1"/>
  <c r="E50" i="20"/>
  <c r="C136" i="20"/>
  <c r="E59" i="20"/>
  <c r="E52" i="20"/>
  <c r="E28" i="20"/>
  <c r="F103" i="20" l="1"/>
  <c r="F101" i="20"/>
  <c r="F30" i="20"/>
  <c r="F13" i="20"/>
  <c r="F91" i="20"/>
  <c r="F54" i="20"/>
  <c r="F59" i="20"/>
  <c r="F21" i="20"/>
  <c r="F73" i="20"/>
  <c r="F5" i="20"/>
  <c r="F39" i="20"/>
  <c r="F104" i="20"/>
  <c r="F14" i="20"/>
  <c r="F53" i="20"/>
  <c r="F77" i="20"/>
  <c r="F105" i="20"/>
  <c r="F9" i="20"/>
  <c r="F17" i="20"/>
  <c r="F25" i="20"/>
  <c r="F45" i="20"/>
  <c r="F70" i="20"/>
  <c r="F102" i="20"/>
  <c r="F93" i="20"/>
  <c r="F116" i="20"/>
  <c r="F115" i="20"/>
  <c r="F6" i="20"/>
  <c r="F22" i="20"/>
  <c r="F31" i="20"/>
  <c r="F56" i="20"/>
  <c r="F38" i="20"/>
  <c r="F133" i="20"/>
  <c r="F52" i="20"/>
  <c r="F35" i="20"/>
  <c r="F28" i="20"/>
  <c r="F130" i="20"/>
  <c r="F121" i="20"/>
  <c r="F10" i="20"/>
  <c r="F18" i="20"/>
  <c r="F26" i="20"/>
  <c r="F92" i="20"/>
  <c r="F74" i="20"/>
  <c r="F55" i="20"/>
  <c r="F42" i="20"/>
  <c r="F46" i="20"/>
  <c r="F90" i="20"/>
  <c r="F68" i="20"/>
  <c r="F128" i="20"/>
  <c r="F43" i="20"/>
  <c r="F94" i="20"/>
  <c r="F107" i="20"/>
  <c r="F61" i="20"/>
  <c r="F109" i="20"/>
  <c r="F95" i="20"/>
  <c r="F37" i="20"/>
  <c r="F110" i="20"/>
  <c r="F82" i="20"/>
  <c r="F64" i="20"/>
  <c r="F117" i="20"/>
  <c r="F99" i="20"/>
  <c r="F75" i="20"/>
  <c r="F97" i="20"/>
  <c r="F132" i="20"/>
  <c r="F86" i="20"/>
  <c r="F71" i="20"/>
  <c r="F67" i="20"/>
  <c r="F36" i="20"/>
  <c r="F120" i="20"/>
  <c r="F119" i="20"/>
  <c r="F98" i="20"/>
  <c r="F47" i="20"/>
  <c r="F7" i="20"/>
  <c r="F11" i="20"/>
  <c r="F15" i="20"/>
  <c r="F19" i="20"/>
  <c r="F23" i="20"/>
  <c r="F27" i="20"/>
  <c r="F136" i="20"/>
  <c r="F108" i="20"/>
  <c r="F62" i="20"/>
  <c r="F78" i="20"/>
  <c r="F123" i="20"/>
  <c r="F118" i="20"/>
  <c r="F65" i="20"/>
  <c r="F81" i="20"/>
  <c r="F125" i="20"/>
  <c r="F96" i="20"/>
  <c r="F111" i="20"/>
  <c r="F106" i="20"/>
  <c r="F113" i="20"/>
  <c r="F51" i="20"/>
  <c r="F76" i="20"/>
  <c r="F127" i="20"/>
  <c r="F126" i="20"/>
  <c r="F79" i="20"/>
  <c r="F72" i="20"/>
  <c r="F83" i="20"/>
  <c r="F44" i="20"/>
  <c r="F131" i="20"/>
  <c r="F114" i="20"/>
  <c r="F89" i="20"/>
  <c r="F48" i="20"/>
  <c r="F8" i="20"/>
  <c r="F12" i="20"/>
  <c r="F16" i="20"/>
  <c r="F20" i="20"/>
  <c r="F24" i="20"/>
  <c r="F29" i="20"/>
  <c r="F40" i="20"/>
  <c r="F124" i="20"/>
  <c r="F66" i="20"/>
  <c r="F84" i="20"/>
  <c r="F135" i="20"/>
  <c r="F134" i="20"/>
  <c r="F69" i="20"/>
  <c r="F85" i="20"/>
  <c r="F33" i="20"/>
  <c r="F112" i="20"/>
  <c r="E136" i="20"/>
  <c r="F122" i="20"/>
  <c r="F129" i="20"/>
  <c r="F100" i="20"/>
  <c r="F50" i="20"/>
  <c r="F80" i="20"/>
  <c r="F49" i="20"/>
  <c r="F63" i="20"/>
  <c r="F87" i="20"/>
  <c r="J26" i="3" l="1"/>
  <c r="H15" i="3" l="1"/>
  <c r="J15" i="3" s="1"/>
  <c r="H8" i="3"/>
  <c r="J8" i="3" l="1"/>
  <c r="H7" i="3"/>
  <c r="J7" i="3" s="1"/>
  <c r="H7" i="14"/>
  <c r="J7" i="14" s="1"/>
  <c r="H7" i="17" l="1"/>
  <c r="H11" i="17" l="1"/>
  <c r="H10" i="17" l="1"/>
  <c r="J10" i="17" s="1"/>
  <c r="J9" i="17" s="1"/>
  <c r="J11" i="17"/>
  <c r="H9" i="6" l="1"/>
  <c r="H12" i="6"/>
  <c r="J12" i="6" s="1"/>
  <c r="H14" i="6"/>
  <c r="J14" i="6" s="1"/>
  <c r="H16" i="6"/>
  <c r="H45" i="6"/>
  <c r="J9" i="6" l="1"/>
  <c r="H8" i="6"/>
  <c r="J16" i="6"/>
  <c r="H32" i="6"/>
  <c r="J45" i="6"/>
  <c r="H7" i="6" l="1"/>
  <c r="J7" i="6" s="1"/>
  <c r="J8" i="6"/>
  <c r="J32" i="6"/>
</calcChain>
</file>

<file path=xl/comments1.xml><?xml version="1.0" encoding="utf-8"?>
<comments xmlns="http://schemas.openxmlformats.org/spreadsheetml/2006/main">
  <authors>
    <author>/-/ GP /-/</author>
  </authors>
  <commentList>
    <comment ref="A210" authorId="0">
      <text>
        <r>
          <rPr>
            <b/>
            <sz val="8"/>
            <color indexed="81"/>
            <rFont val="Tahoma"/>
            <family val="2"/>
          </rPr>
          <t>/-/ GP /-/:</t>
        </r>
        <r>
          <rPr>
            <sz val="8"/>
            <color indexed="81"/>
            <rFont val="Tahoma"/>
            <family val="2"/>
          </rPr>
          <t xml:space="preserve">
Solo  para la sede DRA</t>
        </r>
      </text>
    </comment>
  </commentList>
</comments>
</file>

<file path=xl/comments2.xml><?xml version="1.0" encoding="utf-8"?>
<comments xmlns="http://schemas.openxmlformats.org/spreadsheetml/2006/main">
  <authors>
    <author>lvallejos</author>
  </authors>
  <commentList>
    <comment ref="E177" authorId="0">
      <text>
        <r>
          <rPr>
            <b/>
            <sz val="9"/>
            <color indexed="81"/>
            <rFont val="Tahoma"/>
            <family val="2"/>
          </rPr>
          <t>lvallejos:</t>
        </r>
        <r>
          <rPr>
            <sz val="9"/>
            <color indexed="81"/>
            <rFont val="Tahoma"/>
            <family val="2"/>
          </rPr>
          <t xml:space="preserve">
El seguimiento se realiza cada día</t>
        </r>
      </text>
    </comment>
  </commentList>
</comments>
</file>

<file path=xl/sharedStrings.xml><?xml version="1.0" encoding="utf-8"?>
<sst xmlns="http://schemas.openxmlformats.org/spreadsheetml/2006/main" count="4861" uniqueCount="2324">
  <si>
    <t>N°</t>
  </si>
  <si>
    <t>NOMBRE DE LA ACTIVIDAD/PROYECTO</t>
  </si>
  <si>
    <t>PROVINCIA</t>
  </si>
  <si>
    <t>UNIDAD DE MEDIDA</t>
  </si>
  <si>
    <t>CANTIDAD ANUAL</t>
  </si>
  <si>
    <r>
      <rPr>
        <b/>
        <sz val="10"/>
        <color theme="1"/>
        <rFont val="Calibri"/>
        <family val="2"/>
        <scheme val="minor"/>
      </rPr>
      <t xml:space="preserve">OBJETIVO ESTRATÉGICO ESPECÍFICO   :  </t>
    </r>
    <r>
      <rPr>
        <sz val="10"/>
        <color theme="1"/>
        <rFont val="Calibri"/>
        <family val="2"/>
        <scheme val="minor"/>
      </rPr>
      <t>2.2. Promover el desarrollo turístico, artesanal y exportador del departamento de Cajamarca.</t>
    </r>
  </si>
  <si>
    <r>
      <rPr>
        <b/>
        <sz val="10"/>
        <color theme="1"/>
        <rFont val="Calibri"/>
        <family val="2"/>
        <scheme val="minor"/>
      </rPr>
      <t xml:space="preserve">OBJETIVO ESTRATÉGICO GENERAL       :  </t>
    </r>
    <r>
      <rPr>
        <sz val="10"/>
        <color theme="1"/>
        <rFont val="Calibri"/>
        <family val="2"/>
        <scheme val="minor"/>
      </rPr>
      <t>2. Productores rurales y agentes económicos, impulsados por el Gobierno Regional de Cajamarca, desarrollan competitivamente una estructura productiva diversificada, sostenible, organizados y articulados al mercado en forma sostenible.</t>
    </r>
  </si>
  <si>
    <r>
      <rPr>
        <b/>
        <sz val="10"/>
        <color theme="1"/>
        <rFont val="Calibri"/>
        <family val="2"/>
        <scheme val="minor"/>
      </rPr>
      <t xml:space="preserve">OBJETIVO ESTRATÉGICO ESPECÍFICO   :  </t>
    </r>
    <r>
      <rPr>
        <sz val="10"/>
        <color theme="1"/>
        <rFont val="Calibri"/>
        <family val="2"/>
        <scheme val="minor"/>
      </rPr>
      <t>2.1. Fomentar la asociatividad con enfoque de mercado y gestión empresarial, promoviendo las cadenas productivas, la investigación y la innovación tecnológica.</t>
    </r>
  </si>
  <si>
    <r>
      <rPr>
        <b/>
        <sz val="10"/>
        <color theme="1"/>
        <rFont val="Calibri"/>
        <family val="2"/>
        <scheme val="minor"/>
      </rPr>
      <t xml:space="preserve">OBJETIVO ESTRATÉGICO ESPECÍFICO   :  </t>
    </r>
    <r>
      <rPr>
        <sz val="10"/>
        <color theme="1"/>
        <rFont val="Calibri"/>
        <family val="2"/>
        <scheme val="minor"/>
      </rPr>
      <t>1.5. Mejorar el acceso de la población del departamento de Cajamarca a empleos dignos.</t>
    </r>
  </si>
  <si>
    <r>
      <rPr>
        <b/>
        <sz val="10"/>
        <color theme="1"/>
        <rFont val="Calibri"/>
        <family val="2"/>
        <scheme val="minor"/>
      </rPr>
      <t>OBJETIVO ESTRATÉGICO GENERAL       :</t>
    </r>
    <r>
      <rPr>
        <sz val="10"/>
        <color theme="1"/>
        <rFont val="Calibri"/>
        <family val="2"/>
        <scheme val="minor"/>
      </rPr>
      <t xml:space="preserve">  1. La Población del departamento de Cajamarca, principalmente en condición de pobreza y vulnerable, accede a servicios sociales básicos de calidad e igualdad de oportunidades.</t>
    </r>
  </si>
  <si>
    <r>
      <rPr>
        <b/>
        <sz val="10"/>
        <color theme="1"/>
        <rFont val="Calibri"/>
        <family val="2"/>
        <scheme val="minor"/>
      </rPr>
      <t>OBJETIVO ESTRATÉGICO ESPECÍFICO   :  1</t>
    </r>
    <r>
      <rPr>
        <sz val="10"/>
        <color theme="1"/>
        <rFont val="Calibri"/>
        <family val="2"/>
        <scheme val="minor"/>
      </rPr>
      <t>.4. Fortalecer la inclusión social, priorizando al menor y adolescente en situación de abandono y a las personas con discapacidad y promoviendo la igualdad de oportunidades en el departamento de Cajamarca.</t>
    </r>
  </si>
  <si>
    <r>
      <rPr>
        <b/>
        <sz val="10"/>
        <color theme="1"/>
        <rFont val="Calibri"/>
        <family val="2"/>
        <scheme val="minor"/>
      </rPr>
      <t>OBJETIVO ESTRATÉGICO ESPECÍFICO   :</t>
    </r>
    <r>
      <rPr>
        <sz val="10"/>
        <color theme="1"/>
        <rFont val="Calibri"/>
        <family val="2"/>
        <scheme val="minor"/>
      </rPr>
      <t xml:space="preserve">  1.3. Promover la construcción y mejoramiento de la infraestructura de agua y saneamiento en zonas urbanas y rurales; así como propiciar el acceso a una vivienda digna.</t>
    </r>
  </si>
  <si>
    <r>
      <rPr>
        <b/>
        <sz val="10"/>
        <color theme="1"/>
        <rFont val="Calibri"/>
        <family val="2"/>
        <scheme val="minor"/>
      </rPr>
      <t>OBJETIVO ESTRATÉGICO GENERALE     :</t>
    </r>
    <r>
      <rPr>
        <sz val="10"/>
        <color theme="1"/>
        <rFont val="Calibri"/>
        <family val="2"/>
        <scheme val="minor"/>
      </rPr>
      <t xml:space="preserve">  1. La Población del departamento de Cajamarca, principalmente en condición de pobreza y vulnerable, accede a servicios sociales básicos de calidad e igualdad de oportunidades.</t>
    </r>
  </si>
  <si>
    <r>
      <rPr>
        <b/>
        <sz val="10"/>
        <color theme="1"/>
        <rFont val="Calibri"/>
        <family val="2"/>
        <scheme val="minor"/>
      </rPr>
      <t>OBJETIVO ESTRATÉGICO ESPECÍFICO   :</t>
    </r>
    <r>
      <rPr>
        <sz val="10"/>
        <color theme="1"/>
        <rFont val="Calibri"/>
        <family val="2"/>
        <scheme val="minor"/>
      </rPr>
      <t xml:space="preserve">  1.2. Población del departamento de Cajamarca, principalmente pobre y vulnerable, accede a servicios integrales de salud de calidad, con enfoque preventivo promocional.</t>
    </r>
  </si>
  <si>
    <r>
      <rPr>
        <b/>
        <sz val="10"/>
        <color theme="1"/>
        <rFont val="Calibri"/>
        <family val="2"/>
        <scheme val="minor"/>
      </rPr>
      <t>OBJETIVO ESTRATÉGICO ESPECÍFICO   :</t>
    </r>
    <r>
      <rPr>
        <sz val="10"/>
        <color theme="1"/>
        <rFont val="Calibri"/>
        <family val="2"/>
        <scheme val="minor"/>
      </rPr>
      <t xml:space="preserve">  1.1. Población del departamento de Cajamarca accede a educación de calidad y adquieren competencias para una gestión integral del territorio.</t>
    </r>
  </si>
  <si>
    <r>
      <rPr>
        <b/>
        <sz val="10"/>
        <color theme="1"/>
        <rFont val="Calibri"/>
        <family val="2"/>
        <scheme val="minor"/>
      </rPr>
      <t xml:space="preserve">OBJETIVO ESTRATÉGICO ESPECÍFICO   :  </t>
    </r>
    <r>
      <rPr>
        <sz val="10"/>
        <color theme="1"/>
        <rFont val="Calibri"/>
        <family val="2"/>
        <scheme val="minor"/>
      </rPr>
      <t>2.5. Promover la construcción y mejoramiento de la infraestructura de riego para optimizar el uso del agua, ampliando la frontera agrícola e incrementando la productividad.</t>
    </r>
  </si>
  <si>
    <r>
      <rPr>
        <b/>
        <sz val="10"/>
        <color theme="1"/>
        <rFont val="Calibri"/>
        <family val="2"/>
        <scheme val="minor"/>
      </rPr>
      <t xml:space="preserve">OBJETIVO ESTRATÉGICO ESPECÍFICO   : </t>
    </r>
    <r>
      <rPr>
        <sz val="10"/>
        <color theme="1"/>
        <rFont val="Calibri"/>
        <family val="2"/>
        <scheme val="minor"/>
      </rPr>
      <t xml:space="preserve"> 2.3. Contribuir a mejorar la infaestructura vial y de telecomunicaciones, para dinamizar la economía y acceso a los servicios básicos.</t>
    </r>
  </si>
  <si>
    <r>
      <rPr>
        <b/>
        <sz val="10"/>
        <color theme="1"/>
        <rFont val="Calibri"/>
        <family val="2"/>
        <scheme val="minor"/>
      </rPr>
      <t xml:space="preserve">OBJETIVO ESTRATÉGICO ESPECÍFICO   :  </t>
    </r>
    <r>
      <rPr>
        <sz val="10"/>
        <color theme="1"/>
        <rFont val="Calibri"/>
        <family val="2"/>
        <scheme val="minor"/>
      </rPr>
      <t>2.4. Ampliar y mejorar la infraestructura energética, priorizando la electrificación rural para generar valor agregado en la producción local.</t>
    </r>
  </si>
  <si>
    <r>
      <rPr>
        <b/>
        <sz val="10"/>
        <color theme="1"/>
        <rFont val="Calibri"/>
        <family val="2"/>
        <scheme val="minor"/>
      </rPr>
      <t xml:space="preserve">EJE DE DESARROLLO                                : </t>
    </r>
    <r>
      <rPr>
        <sz val="10"/>
        <color theme="1"/>
        <rFont val="Calibri"/>
        <family val="2"/>
        <scheme val="minor"/>
      </rPr>
      <t xml:space="preserve"> SOCIAL CULTURAL                                                                                                         :</t>
    </r>
  </si>
  <si>
    <r>
      <rPr>
        <b/>
        <sz val="10"/>
        <color theme="1"/>
        <rFont val="Calibri"/>
        <family val="2"/>
        <scheme val="minor"/>
      </rPr>
      <t>EJE DE DESARROLLO                               :</t>
    </r>
    <r>
      <rPr>
        <sz val="10"/>
        <color theme="1"/>
        <rFont val="Calibri"/>
        <family val="2"/>
        <scheme val="minor"/>
      </rPr>
      <t xml:space="preserve">  SOCIAL CULTURAL                                                                                                         :</t>
    </r>
  </si>
  <si>
    <r>
      <rPr>
        <b/>
        <sz val="10"/>
        <color theme="1"/>
        <rFont val="Calibri"/>
        <family val="2"/>
        <scheme val="minor"/>
      </rPr>
      <t>EJE DE DESARROLLO                               :</t>
    </r>
    <r>
      <rPr>
        <sz val="10"/>
        <color theme="1"/>
        <rFont val="Calibri"/>
        <family val="2"/>
        <scheme val="minor"/>
      </rPr>
      <t xml:space="preserve">  SOCIAL CULTURAL                                                                                                           :</t>
    </r>
  </si>
  <si>
    <r>
      <rPr>
        <b/>
        <sz val="10"/>
        <color theme="1"/>
        <rFont val="Calibri"/>
        <family val="2"/>
        <scheme val="minor"/>
      </rPr>
      <t>EJE DE DESARROLLO                               :</t>
    </r>
    <r>
      <rPr>
        <sz val="10"/>
        <color theme="1"/>
        <rFont val="Calibri"/>
        <family val="2"/>
        <scheme val="minor"/>
      </rPr>
      <t xml:space="preserve">  SOCIAL CULTURAL                                                                                                            :</t>
    </r>
  </si>
  <si>
    <r>
      <rPr>
        <b/>
        <sz val="10"/>
        <color theme="1"/>
        <rFont val="Calibri"/>
        <family val="2"/>
        <scheme val="minor"/>
      </rPr>
      <t xml:space="preserve">EJE DE DESARROLLO                               : </t>
    </r>
    <r>
      <rPr>
        <sz val="10"/>
        <color theme="1"/>
        <rFont val="Calibri"/>
        <family val="2"/>
        <scheme val="minor"/>
      </rPr>
      <t xml:space="preserve"> SOCIAL CULTURAL                                                                                                               :</t>
    </r>
  </si>
  <si>
    <r>
      <rPr>
        <b/>
        <sz val="10"/>
        <color theme="1"/>
        <rFont val="Calibri"/>
        <family val="2"/>
        <scheme val="minor"/>
      </rPr>
      <t>EJE DE DESARROLLO                               :</t>
    </r>
    <r>
      <rPr>
        <sz val="10"/>
        <color theme="1"/>
        <rFont val="Calibri"/>
        <family val="2"/>
        <scheme val="minor"/>
      </rPr>
      <t xml:space="preserve">  ECONÓMICO                                                                                                         :</t>
    </r>
  </si>
  <si>
    <r>
      <rPr>
        <b/>
        <sz val="10"/>
        <color theme="1"/>
        <rFont val="Calibri"/>
        <family val="2"/>
        <scheme val="minor"/>
      </rPr>
      <t xml:space="preserve">EJE DE DESARROLLO                               :  </t>
    </r>
    <r>
      <rPr>
        <sz val="10"/>
        <color theme="1"/>
        <rFont val="Calibri"/>
        <family val="2"/>
        <scheme val="minor"/>
      </rPr>
      <t>ECONÓMICO                                                                                                         :</t>
    </r>
  </si>
  <si>
    <r>
      <rPr>
        <b/>
        <sz val="10"/>
        <color theme="1"/>
        <rFont val="Calibri"/>
        <family val="2"/>
        <scheme val="minor"/>
      </rPr>
      <t xml:space="preserve">EJE DE DESARROLLO                               : </t>
    </r>
    <r>
      <rPr>
        <sz val="10"/>
        <color theme="1"/>
        <rFont val="Calibri"/>
        <family val="2"/>
        <scheme val="minor"/>
      </rPr>
      <t xml:space="preserve"> ECONÓMICO                                                                                                         :</t>
    </r>
  </si>
  <si>
    <r>
      <rPr>
        <b/>
        <sz val="10"/>
        <color theme="1"/>
        <rFont val="Calibri"/>
        <family val="2"/>
        <scheme val="minor"/>
      </rPr>
      <t xml:space="preserve">OBJETIVO ESTRATÉGICO GENERAL      :  </t>
    </r>
    <r>
      <rPr>
        <sz val="10"/>
        <color theme="1"/>
        <rFont val="Calibri"/>
        <family val="2"/>
        <scheme val="minor"/>
      </rPr>
      <t>3. Gobierno Regional gestiona y promueve en los actores públicos y privados el uso, ocupación y aprovechamiento sostenible de los RR.NN. y Biodiversidad del Territorio bajo el enfoque de cuenca en concordancia con la ZEE.</t>
    </r>
  </si>
  <si>
    <r>
      <rPr>
        <b/>
        <sz val="10"/>
        <color theme="1"/>
        <rFont val="Calibri"/>
        <family val="2"/>
        <scheme val="minor"/>
      </rPr>
      <t xml:space="preserve">EJE DE DESARROLLO                              : </t>
    </r>
    <r>
      <rPr>
        <sz val="10"/>
        <color theme="1"/>
        <rFont val="Calibri"/>
        <family val="2"/>
        <scheme val="minor"/>
      </rPr>
      <t xml:space="preserve"> AMBIENTAL                                                                                                            :</t>
    </r>
  </si>
  <si>
    <r>
      <rPr>
        <b/>
        <sz val="10"/>
        <color theme="1"/>
        <rFont val="Calibri"/>
        <family val="2"/>
        <scheme val="minor"/>
      </rPr>
      <t xml:space="preserve">OBJETIVO ESTRATÉGICO GENERAL       :  </t>
    </r>
    <r>
      <rPr>
        <sz val="10"/>
        <color theme="1"/>
        <rFont val="Calibri"/>
        <family val="2"/>
        <scheme val="minor"/>
      </rPr>
      <t>3. Gobierno Regional gestiona y promueve en los actores públicos y privados el uso, ocupación y aprovechamiento sostenible de los RR.NN. y Biodiversidad del Territorio bajo el enfoque de cuenca en concordancia con la ZEE.</t>
    </r>
  </si>
  <si>
    <r>
      <rPr>
        <b/>
        <sz val="10"/>
        <color theme="1"/>
        <rFont val="Calibri"/>
        <family val="2"/>
        <scheme val="minor"/>
      </rPr>
      <t xml:space="preserve">EJE DE DESARROLLO                               :  </t>
    </r>
    <r>
      <rPr>
        <sz val="10"/>
        <color theme="1"/>
        <rFont val="Calibri"/>
        <family val="2"/>
        <scheme val="minor"/>
      </rPr>
      <t>AMBIENTAL                                                                                                             :</t>
    </r>
  </si>
  <si>
    <r>
      <rPr>
        <b/>
        <sz val="10"/>
        <color theme="1"/>
        <rFont val="Calibri"/>
        <family val="2"/>
        <scheme val="minor"/>
      </rPr>
      <t xml:space="preserve">OBJETIVO ESTRATÉGICO GENERALE     :  </t>
    </r>
    <r>
      <rPr>
        <sz val="10"/>
        <color theme="1"/>
        <rFont val="Calibri"/>
        <family val="2"/>
        <scheme val="minor"/>
      </rPr>
      <t>3. Gobierno Regional gestiona y promueve en los actores públicos y privados el uso, ocupación y aprovechamiento sostenible de los RR.NN. y Biodiversidad del Territorio bajo el enfoque de cuenca en concordancia con la ZEE.</t>
    </r>
  </si>
  <si>
    <r>
      <rPr>
        <b/>
        <sz val="10"/>
        <color theme="1"/>
        <rFont val="Calibri"/>
        <family val="2"/>
        <scheme val="minor"/>
      </rPr>
      <t>EJE DE DESARROLLO                               :</t>
    </r>
    <r>
      <rPr>
        <sz val="10"/>
        <color theme="1"/>
        <rFont val="Calibri"/>
        <family val="2"/>
        <scheme val="minor"/>
      </rPr>
      <t xml:space="preserve"> AMBIENTAL                                                                                                             :</t>
    </r>
  </si>
  <si>
    <r>
      <rPr>
        <b/>
        <sz val="10"/>
        <color theme="1"/>
        <rFont val="Calibri"/>
        <family val="2"/>
        <scheme val="minor"/>
      </rPr>
      <t>OBJETIVO ESTRATÉGICO ESPECÍFICO   :</t>
    </r>
    <r>
      <rPr>
        <sz val="10"/>
        <color theme="1"/>
        <rFont val="Calibri"/>
        <family val="2"/>
        <scheme val="minor"/>
      </rPr>
      <t xml:space="preserve">  4.1. Gobierno Regional de Cajamarca al servicio del ciudadano.</t>
    </r>
  </si>
  <si>
    <r>
      <rPr>
        <b/>
        <sz val="10"/>
        <color theme="1"/>
        <rFont val="Calibri"/>
        <family val="2"/>
        <scheme val="minor"/>
      </rPr>
      <t xml:space="preserve">OBJETIVO ESTRATÉGICO GENERAL       :  </t>
    </r>
    <r>
      <rPr>
        <sz val="10"/>
        <color theme="1"/>
        <rFont val="Calibri"/>
        <family val="2"/>
        <scheme val="minor"/>
      </rPr>
      <t>4. Gobierno Regional de Cajamarca lidera un proceso Democrático de Desarrollo Departamental.</t>
    </r>
  </si>
  <si>
    <r>
      <rPr>
        <b/>
        <sz val="10"/>
        <color theme="1"/>
        <rFont val="Calibri"/>
        <family val="2"/>
        <scheme val="minor"/>
      </rPr>
      <t xml:space="preserve">EJE DE DESARROLLO                               : </t>
    </r>
    <r>
      <rPr>
        <sz val="10"/>
        <color theme="1"/>
        <rFont val="Calibri"/>
        <family val="2"/>
        <scheme val="minor"/>
      </rPr>
      <t xml:space="preserve"> INSTITUCIONAL                                                                                                       :</t>
    </r>
  </si>
  <si>
    <r>
      <rPr>
        <b/>
        <sz val="10"/>
        <color theme="1"/>
        <rFont val="Calibri"/>
        <family val="2"/>
        <scheme val="minor"/>
      </rPr>
      <t xml:space="preserve">OBJETIVO ESTRATÉGICO ESPECÍFICO   :  </t>
    </r>
    <r>
      <rPr>
        <sz val="10"/>
        <color theme="1"/>
        <rFont val="Calibri"/>
        <family val="2"/>
        <scheme val="minor"/>
      </rPr>
      <t>4.2. Gestión Pública concertadora, participativa y transparente con actores del entorno interno y externo</t>
    </r>
  </si>
  <si>
    <r>
      <rPr>
        <b/>
        <sz val="10"/>
        <color theme="1"/>
        <rFont val="Calibri"/>
        <family val="2"/>
        <scheme val="minor"/>
      </rPr>
      <t xml:space="preserve">OBJETIVO ESTRATÉGICO ESPECÍFICO   :  </t>
    </r>
    <r>
      <rPr>
        <sz val="10"/>
        <color theme="1"/>
        <rFont val="Calibri"/>
        <family val="2"/>
        <scheme val="minor"/>
      </rPr>
      <t>4.3. Ampliar la participación de la ciudadanía en la gestión del riesgo de desastres departamental.</t>
    </r>
  </si>
  <si>
    <r>
      <rPr>
        <b/>
        <sz val="10"/>
        <color theme="1"/>
        <rFont val="Calibri"/>
        <family val="2"/>
        <scheme val="minor"/>
      </rPr>
      <t>EJE DE DESARROLLO                               :</t>
    </r>
    <r>
      <rPr>
        <sz val="10"/>
        <color theme="1"/>
        <rFont val="Calibri"/>
        <family val="2"/>
        <scheme val="minor"/>
      </rPr>
      <t xml:space="preserve"> INSTITUCIONAL                                                                                                 :</t>
    </r>
  </si>
  <si>
    <r>
      <rPr>
        <b/>
        <sz val="10"/>
        <color theme="1"/>
        <rFont val="Calibri"/>
        <family val="2"/>
        <scheme val="minor"/>
      </rPr>
      <t xml:space="preserve">EJE DE DESARROLLO                                : </t>
    </r>
    <r>
      <rPr>
        <sz val="10"/>
        <color theme="1"/>
        <rFont val="Calibri"/>
        <family val="2"/>
        <scheme val="minor"/>
      </rPr>
      <t xml:space="preserve"> INSTITUCIONAL                                                                                                       :</t>
    </r>
  </si>
  <si>
    <t>SUB GERENCIA DESARROLLO SOCIAL Y HUMANO</t>
  </si>
  <si>
    <t>Multiprovincial</t>
  </si>
  <si>
    <t>Docentes</t>
  </si>
  <si>
    <t>Talleres</t>
  </si>
  <si>
    <t>Ferias</t>
  </si>
  <si>
    <t>Feria</t>
  </si>
  <si>
    <t>Desarrollo de capacidades y asistencia técnica en gestión del riesgo de desastres</t>
  </si>
  <si>
    <t>Cajamarca</t>
  </si>
  <si>
    <t>Persona</t>
  </si>
  <si>
    <t>Implementación de dispositivos de emergencia y acondicionamiento de locales escolares (Adquisición de activos no financieros)</t>
  </si>
  <si>
    <t>Local Escolar</t>
  </si>
  <si>
    <t>Implementación de dispositivos de emergencia y acondicionamiento de locales escolares (Bienes y servicios)</t>
  </si>
  <si>
    <t>Gestión del Programa (PELA)- Asesoramiento y apoyo</t>
  </si>
  <si>
    <t>Acción</t>
  </si>
  <si>
    <t xml:space="preserve">Acompañamiento Pedagógico a II.EE multiedad de II Ciclo de Educación Básica Regular. </t>
  </si>
  <si>
    <t>Acompañamiento Pedagógico a II.EE multigrado de Primaria.</t>
  </si>
  <si>
    <t xml:space="preserve">Dotación de material educativo para estudiantes de II Ciclo de II.EE. de EBR. </t>
  </si>
  <si>
    <t>Estudiante</t>
  </si>
  <si>
    <t>Dotación de material educativo para aulas de Primaria</t>
  </si>
  <si>
    <t>Aula</t>
  </si>
  <si>
    <t>Dotación de material fungible para aulas de II Ciclo de EBR.</t>
  </si>
  <si>
    <t>Dotación de material fungible para aulas de Primaria</t>
  </si>
  <si>
    <t>Dotación de material educativo para II.EE de II Ciclo de EBR.</t>
  </si>
  <si>
    <t>Dotación de material educativo para II.EE de Secundaria</t>
  </si>
  <si>
    <t>Gestión para la generación de nuevos espacios educativos de calidad para el incremento de cobertura en Educación inicial.</t>
  </si>
  <si>
    <t>Expediente Técnico</t>
  </si>
  <si>
    <t>Asistencia técnica para el incremento de cobertura en Educación Inicial</t>
  </si>
  <si>
    <t>Instancia Intermedia</t>
  </si>
  <si>
    <t>Asistencia técnica para el incremento de cobertura en Educación secundaria</t>
  </si>
  <si>
    <t>Saneamiento físico legal de terrenos para servicios de Educación Inicial</t>
  </si>
  <si>
    <t>Terreno</t>
  </si>
  <si>
    <t>Saneamiento físico legal de los terrenos para II.EE nuevas de Educación Secundaria</t>
  </si>
  <si>
    <t>Promoción y difusión para el fortalecimiento de la demanda de servicios de calidad de Educación Inicial</t>
  </si>
  <si>
    <t>Familia</t>
  </si>
  <si>
    <t>Promoción y difusión para el fortalecimiento de la demanda de servicios de calidad en educación secundaria</t>
  </si>
  <si>
    <t>Contratación oportuna de docentes y pago de planillas a personal de Institutos de Educación Superior Pedagógica</t>
  </si>
  <si>
    <t>Provisión de servicios básicos y mantenimiento a la infraestructura</t>
  </si>
  <si>
    <t>Dirección de asesoramiento</t>
  </si>
  <si>
    <t>Desarrollo de la enseñanza</t>
  </si>
  <si>
    <t>Alumno</t>
  </si>
  <si>
    <t>Unidad de costeo</t>
  </si>
  <si>
    <t>Pago de pensiones y beneficios a Cesantes y Jubilados</t>
  </si>
  <si>
    <t>Planilla</t>
  </si>
  <si>
    <t>Equipos</t>
  </si>
  <si>
    <t>ACTIVIDADES DE LAS UNIDADES DE GESTIÓN EDUCATIVA LOCALES</t>
  </si>
  <si>
    <t>Dirección y asesoramiento</t>
  </si>
  <si>
    <t>Institución Educativa</t>
  </si>
  <si>
    <t>Gestión administrativa</t>
  </si>
  <si>
    <t>Pago de remuneraciones al personal administrativo</t>
  </si>
  <si>
    <t>Acciones administrativa de la Sede</t>
  </si>
  <si>
    <t>Capacitación a docentes</t>
  </si>
  <si>
    <t>Taller</t>
  </si>
  <si>
    <t>Supervisión y monitoreo</t>
  </si>
  <si>
    <t>Visita a docente</t>
  </si>
  <si>
    <t>Visita a I.E.</t>
  </si>
  <si>
    <t>Concursos para la promoción de la educación</t>
  </si>
  <si>
    <t>Evento</t>
  </si>
  <si>
    <t>Campañas de difusión</t>
  </si>
  <si>
    <t>Campañas</t>
  </si>
  <si>
    <t>Gestión del Programa</t>
  </si>
  <si>
    <t>Acompañamiento pedagógico a docentes en aula</t>
  </si>
  <si>
    <t>Institución Educativa Primaria</t>
  </si>
  <si>
    <t>Formador</t>
  </si>
  <si>
    <t>Acompañante</t>
  </si>
  <si>
    <t>Docente Acompañado</t>
  </si>
  <si>
    <t>Desarrollo de la educación especial</t>
  </si>
  <si>
    <t>Horas lectivas</t>
  </si>
  <si>
    <t>Docente Capacitado</t>
  </si>
  <si>
    <t>Cursos</t>
  </si>
  <si>
    <t>Desarrollo de la educación laboral y técnica</t>
  </si>
  <si>
    <t>Docente</t>
  </si>
  <si>
    <t>Desarrollo de la educación pre escolar</t>
  </si>
  <si>
    <t>PRONOEI</t>
  </si>
  <si>
    <t>Jardín</t>
  </si>
  <si>
    <t>Desarrollo de la educación primaria de adultos</t>
  </si>
  <si>
    <t>Desarrollo de la educación secundaria de adultos</t>
  </si>
  <si>
    <t>Desarrollo del ciclo avanzando de la educación básica alternativa</t>
  </si>
  <si>
    <t>Desarrollo del ciclo inicial de la educación básica alternativa</t>
  </si>
  <si>
    <t>Desarrollo del ciclo intermedio de la educación básica alternativa</t>
  </si>
  <si>
    <t>Obligaciones Previsionales</t>
  </si>
  <si>
    <t>Gestión de expedientes técnicos para la generación de nuevas plazas docentes en Educación Inicial</t>
  </si>
  <si>
    <t>Plaza Docente</t>
  </si>
  <si>
    <t>Gestión de expedientes técnicos para la generación de nuevas plazas docentes en Educación Secundaria</t>
  </si>
  <si>
    <t xml:space="preserve">Contratación oportuna y pago de personal de las I.E. de II ciclo de Educación Básica Regular                                </t>
  </si>
  <si>
    <t>Contratación oportuna y pago de personal de las I.E. de Educación Primaria</t>
  </si>
  <si>
    <t>Contratación oportuna y pago de personal de las I.E. de Educación Secundaria</t>
  </si>
  <si>
    <t>Locales escolares de I.E. de II ciclo de Educación Básica Regular con condiciones adecuadas para su funcionamiento</t>
  </si>
  <si>
    <t>Local escolar</t>
  </si>
  <si>
    <t>Locales escolares de I.E de primaria con condiciones adecuadas para su funcionamiento</t>
  </si>
  <si>
    <t>Locales escolares de I.E.n de secundaria con condiciones adecuadas para su funcionamiento</t>
  </si>
  <si>
    <t>Acompañamiento pedagógico a I.E. multiedad del II ciclo de Educación Básica Regular</t>
  </si>
  <si>
    <t>Acompañamiento pedagógico a I.E. multigrado de Primaria</t>
  </si>
  <si>
    <t>Dotación de material educativo para estudiantes de II ciclo de Educación Básica Regular de I.E.</t>
  </si>
  <si>
    <t>Kit por Alumno</t>
  </si>
  <si>
    <t>Dotación de material educativo para estudiantes de primaria de I.E.</t>
  </si>
  <si>
    <t>Dotación de material educativo para estudiantes de secundaria de I.E.</t>
  </si>
  <si>
    <t>Dotación de material educativo para aulas de II ciclo de Educación Básica Regular</t>
  </si>
  <si>
    <t>Dotación de material educativo para aulas de primaria</t>
  </si>
  <si>
    <t>Dotación de material fungible para aulas de II ciclo de Educación Básica Regular (PELA)</t>
  </si>
  <si>
    <t>Dotación de material fungible para aulas de primaria</t>
  </si>
  <si>
    <t>Dotación de material educativo para I.E. de II ciclo de Educación Básica Regular</t>
  </si>
  <si>
    <t>Dotación de material educativo para I.E. secundarias</t>
  </si>
  <si>
    <t>Local</t>
  </si>
  <si>
    <t>Mantenimiento y Acondicionamiento de Espacios en Locales de los Centros de Educación Básica Especial y Centros de Recursos</t>
  </si>
  <si>
    <t>Contratación oportuna y pago de personal para atención de centros de educación básica especial</t>
  </si>
  <si>
    <t>Mantenimiento y Acondicionamiento de Espacios en Programas de Intervención Temprana</t>
  </si>
  <si>
    <t>Contratación oportuna y pago de personal  para atención de programas de intervención temprana</t>
  </si>
  <si>
    <t>Gestión del currículo de II ciclo de Educación Básica Regular</t>
  </si>
  <si>
    <t>Gestión del currículo de primaria</t>
  </si>
  <si>
    <t>Gestión del currículo de secundaria</t>
  </si>
  <si>
    <t>Contratación oportuna y pago de profesionales para atención de servicios de apoyo a instituciones educativas inclusivas</t>
  </si>
  <si>
    <t>ACTIVIDADES DE LA DIRECCIÓN ARCHIVO REGIONAL</t>
  </si>
  <si>
    <t>Incremento de Hemeroteca</t>
  </si>
  <si>
    <t>Periódico</t>
  </si>
  <si>
    <t>Supervisión de Archivos</t>
  </si>
  <si>
    <t>Institución</t>
  </si>
  <si>
    <t>Transferencia Documental</t>
  </si>
  <si>
    <t>Capacitación Archivística</t>
  </si>
  <si>
    <t>Gestión, construcción del local Expediente técnico  SNIP.</t>
  </si>
  <si>
    <t>Gestión</t>
  </si>
  <si>
    <t>Archivo Histórico</t>
  </si>
  <si>
    <t>Exposiciones</t>
  </si>
  <si>
    <t>Ciudadano</t>
  </si>
  <si>
    <t>Limpieza documental</t>
  </si>
  <si>
    <t>Administración presupuestal</t>
  </si>
  <si>
    <t xml:space="preserve"> Archivo Administrativo</t>
  </si>
  <si>
    <t>Expedición certificaciones notariales</t>
  </si>
  <si>
    <t>Atención a investigadores</t>
  </si>
  <si>
    <t>Colocación de membretes y catones</t>
  </si>
  <si>
    <t>Chota</t>
  </si>
  <si>
    <t>Recuperación de los Servicios Educativos en la I.E.P. 10252 de La Localidad de Conday, Distrito Cutervo, Provincia de Cutervo - Cajamarca</t>
  </si>
  <si>
    <t>Cutervo</t>
  </si>
  <si>
    <t>Aulas</t>
  </si>
  <si>
    <t xml:space="preserve">Dirección </t>
  </si>
  <si>
    <t xml:space="preserve">Losa Deportiva </t>
  </si>
  <si>
    <t>Tanque Séptico</t>
  </si>
  <si>
    <t>Pozo Percolador</t>
  </si>
  <si>
    <t>Laboratorio</t>
  </si>
  <si>
    <t xml:space="preserve">Biblioteca </t>
  </si>
  <si>
    <t>Auditorio</t>
  </si>
  <si>
    <t>Cocina</t>
  </si>
  <si>
    <t xml:space="preserve">Laboratorio </t>
  </si>
  <si>
    <t xml:space="preserve">Salón Multi Usos </t>
  </si>
  <si>
    <t xml:space="preserve">Taller Metal Madera </t>
  </si>
  <si>
    <t>Mejoramiento y Ampliación de los Servicios Educación C.E.I 518 de la Localidad del Choloque - Distrito de Toribio Casanova - Cutervo - Cajamarca</t>
  </si>
  <si>
    <t xml:space="preserve">Aula </t>
  </si>
  <si>
    <t>Cerco perimétrico</t>
  </si>
  <si>
    <t xml:space="preserve">Muro de Contención </t>
  </si>
  <si>
    <t>Juego Recreativo</t>
  </si>
  <si>
    <t>Reposición de infraestructura IE Nº 16563 Los Cedros</t>
  </si>
  <si>
    <t>Jaén</t>
  </si>
  <si>
    <t>Reposición infraestructura de la IEP San Juan de Sallique</t>
  </si>
  <si>
    <t>Acabados</t>
  </si>
  <si>
    <t>Liquidación</t>
  </si>
  <si>
    <t xml:space="preserve">Reconstrucción y Ampliación de la Infraestructura Educativa de la IE 16076 - José María Arguedas </t>
  </si>
  <si>
    <t>Biblioteca</t>
  </si>
  <si>
    <t>Laboratorio de Ciencias</t>
  </si>
  <si>
    <t>Almacén</t>
  </si>
  <si>
    <t>Cerco perimétrico Ml</t>
  </si>
  <si>
    <t>Dirección</t>
  </si>
  <si>
    <t>SS.HH</t>
  </si>
  <si>
    <t>Sala de profesores</t>
  </si>
  <si>
    <t>Escaleras de acceso</t>
  </si>
  <si>
    <t>Sala de Computo</t>
  </si>
  <si>
    <t>Reposición de infraestructura IEP-PS Nº 16010 - Cruce de Chamaya</t>
  </si>
  <si>
    <t>Mobiliario</t>
  </si>
  <si>
    <t>Computadoras</t>
  </si>
  <si>
    <t>SS.HH.</t>
  </si>
  <si>
    <t xml:space="preserve">Sala de Profesores </t>
  </si>
  <si>
    <t>Equipamiento Losa deportiva</t>
  </si>
  <si>
    <t>Pórtico de Ingreso</t>
  </si>
  <si>
    <t>Escalera de Acceso</t>
  </si>
  <si>
    <t xml:space="preserve">Sala de Música </t>
  </si>
  <si>
    <t>Losa deportiva m2</t>
  </si>
  <si>
    <t>Muro de contención Ml</t>
  </si>
  <si>
    <t>Sub Dirección</t>
  </si>
  <si>
    <t>Patio de formación m2</t>
  </si>
  <si>
    <t>GERENCIA REGIONAL DE DESARROLLO SOCIAL</t>
  </si>
  <si>
    <t>Resultado 01: Gestión permanente</t>
  </si>
  <si>
    <t xml:space="preserve">Multiprovincial </t>
  </si>
  <si>
    <t>POA</t>
  </si>
  <si>
    <t>Informe</t>
  </si>
  <si>
    <t>Reunión Técnica con Equipos de Trabajo de las Direcciones Regionales sectoriales para articular objetivos.</t>
  </si>
  <si>
    <t>Reunión</t>
  </si>
  <si>
    <t>RESULTADO 2: Asistencia Técnica a Gobiernos Locales - Gobierno Regional en Políticas Regionales de Población</t>
  </si>
  <si>
    <t>Visitas de Monitoreo a la Implementación del Plan Regional de Población en Gobiernos Locales y Direcciones Sub Regionales de Salud y Educación</t>
  </si>
  <si>
    <t>Reunión de socialización de los resultados de la evaluación a GL y Direcciones Sub Regionales de Salud y Educación, sobre la implementación del Plan Regional de Población</t>
  </si>
  <si>
    <t>Asistencia Técnica, mediante reuniones de trabajo con las Gerencias Regionales y Sub Regionales, ejecutoras de salud y educación para la identificación de proyectos en el Marco del Programa Regional de Población con asistencia técnica del MIMPV</t>
  </si>
  <si>
    <t>RESULTADO 3: Fortalecimiento de Capacidades a Equipos Técnicos de Sectores Salud-Educación-Trabajo-Empleo y UF</t>
  </si>
  <si>
    <t>Formulación de proyectos para la cooperación internacional en temas de adolescente, Violencia de la Mujer basado en género y población.</t>
  </si>
  <si>
    <t>Proyectos formulados</t>
  </si>
  <si>
    <t>Reuniones con cooperantes internacionales para establecer alianzas estratégicas en el marco de la desnutrición crónica infantil</t>
  </si>
  <si>
    <t>Reuniones para coordinar y concertar con instituciones privadas y organizaciones sociales  para ejecutar proyectos articulados</t>
  </si>
  <si>
    <t>RESULTADO 5: Asistencia Técnica en el Marco del Convenio EUROPAN, SIS Capitado, para la Disminución de la Desnutrición Crónica Infantil y la Atención Integral, considerando las prioridades regionales</t>
  </si>
  <si>
    <t>Plan de Supervisión</t>
  </si>
  <si>
    <t>Reuniones de Coordinación con JUNTOS, RENIEC, UDR-SIS, Gobiernos Locales, en el Marco del Convenio EUROPAN, para supervisar el cumplimiento de compromisos del Nivel 2 y el cumplimiento de los Acuerdos de Cooperación Interinstitucional</t>
  </si>
  <si>
    <t>Reunión/Informe</t>
  </si>
  <si>
    <t>Reuniones  Técnicas de evaluación a DIRESA y Unidades Ejecutoras.</t>
  </si>
  <si>
    <t>RESULTADO 6: Acuerdos y Planes de trabajo con Organizaciones de Base, Instituciones Públicas y Privadas para la Vigilancia Comunitaria y el desarrollo de la Investigación en la Región</t>
  </si>
  <si>
    <t>Organizar evento de Encuentro de Organizaciones de Base femeninas para la implementación de la Vigilancia Comunitaria en Salud en el Marco del Día Internacional de la Mujer</t>
  </si>
  <si>
    <t>Foro</t>
  </si>
  <si>
    <t>Organizar eventos de vigilancia comunitaria con organizaciones de base en el marco de prioridades regionales de salud</t>
  </si>
  <si>
    <t>Reuniones de coordinación para el fortalecimiento de capacidades y sensibilización con autoridades y representantes del equipo técnico del Consejo Regional de Seguridad Alimentaria y Nutrición.</t>
  </si>
  <si>
    <t>RESULTADO 7: Asistencia Técnica para la Implementación de los Programas Presupuestales de Salud, Documentos de Gestión y Planes Regionales</t>
  </si>
  <si>
    <t>Visita/ Informe</t>
  </si>
  <si>
    <t>Elaboración de informes técnicos para iniciativa de ordenanza regional a favor de la salud materna, perinatal y neonatal</t>
  </si>
  <si>
    <t>RESULTADO 8: Participar en la elaboración del Programa de Agua y Saneamiento</t>
  </si>
  <si>
    <t>Visitas de supervisión permanente a Dirección Regional de Vivienda para fortalecimiento de capacidades de autogestión</t>
  </si>
  <si>
    <t>Elaboración de un Plan de desarrollo de capacidades de autogestión para fortalecer capacidades de las organizaciones comunales de 34 distritos</t>
  </si>
  <si>
    <t>Plan</t>
  </si>
  <si>
    <t>RESULTADO 9: Monitoreo y seguimiento a principales indicadores de Direcciones Regionales, Aldea Infantil a Convenios específicos en proceso de implementación</t>
  </si>
  <si>
    <t>Propuestas</t>
  </si>
  <si>
    <t>RESULTADO 10:Elaboración de Documento Técnico de Brechas de Género</t>
  </si>
  <si>
    <t>Elaboración del Proyecto de Ordenanza Regional</t>
  </si>
  <si>
    <t>Ordenanza</t>
  </si>
  <si>
    <t>Monitoreo y supervisión al proceso de elaboración</t>
  </si>
  <si>
    <t>Programa Articulado Nutricional</t>
  </si>
  <si>
    <t>Vigilancia, Investigación y Tecnologías en Nutrición</t>
  </si>
  <si>
    <t>Municipio</t>
  </si>
  <si>
    <t>Desarrollo de Normas y Guías Técnicas en Nutrición</t>
  </si>
  <si>
    <t>Norma</t>
  </si>
  <si>
    <t>Municipios saludables promueven el cuidado Infantil y la adecuada alimentación</t>
  </si>
  <si>
    <t>Comunidades saludables promueven el cuidado Infantil y la adecuada alimentación</t>
  </si>
  <si>
    <t>Comunidad</t>
  </si>
  <si>
    <t>Instituciones educativas saludables promueven el cuidado infantil y la adecuada alimentación</t>
  </si>
  <si>
    <t>Institución 
Educativa</t>
  </si>
  <si>
    <t>Familias saludables con conocimientos para el cuidado infantil, lactancia materna exclusiva y la adecuada alimentación y protección del menor de 36 meses</t>
  </si>
  <si>
    <t>Niños con vacuna completa</t>
  </si>
  <si>
    <t>Niño Protegido</t>
  </si>
  <si>
    <t>Niños con CRED completo según edad</t>
  </si>
  <si>
    <t>Niño Controlado</t>
  </si>
  <si>
    <t>Niños con suplemento se hierro y Vitamina A</t>
  </si>
  <si>
    <t>Niño 
Suplementado</t>
  </si>
  <si>
    <t>Control de calidad nutricional de los alimentos</t>
  </si>
  <si>
    <t>Reporte 
Técnico</t>
  </si>
  <si>
    <t>Vigilancia de la calidad del agua para el consumo humano</t>
  </si>
  <si>
    <t>Centro Poblado</t>
  </si>
  <si>
    <t>Desinfección y/o tratamiento del agua para el consumo humano</t>
  </si>
  <si>
    <t>Atención de infecciones respiratorias agudas</t>
  </si>
  <si>
    <t>Caso Tratado</t>
  </si>
  <si>
    <t>Atención de infecciones respiratorias agudas con complicaciones</t>
  </si>
  <si>
    <t>Atención de otras enfermedades prevalentes</t>
  </si>
  <si>
    <t>Gestante con suplemento de hierro y ácido fólico</t>
  </si>
  <si>
    <t>Gestante 
Suplementada</t>
  </si>
  <si>
    <t>Atención de niños y niñas con parasitosis intestinal</t>
  </si>
  <si>
    <t>Monitoreo, supervisión, evaluación y control del Programa Articulado Nutricional</t>
  </si>
  <si>
    <t>Salud Materno Neonatal</t>
  </si>
  <si>
    <t>Población informada sobre salud sexual, salud reproductiva y métodos de planificación familiar</t>
  </si>
  <si>
    <t>Persona 
Informada</t>
  </si>
  <si>
    <t>Adolescentes acceden a servicios de salud para prevención del embarazo</t>
  </si>
  <si>
    <t>Atención</t>
  </si>
  <si>
    <t>Atención prenatal reenfocada</t>
  </si>
  <si>
    <t>Gestante Controlada</t>
  </si>
  <si>
    <t>Desarrollo de normas y guías técnicas en salud materno neonatal</t>
  </si>
  <si>
    <t>Municipios saludables que promueven salud sexual y reproductiva</t>
  </si>
  <si>
    <t>Comunidades saludables que promueven salud sexual y reproductiva</t>
  </si>
  <si>
    <t>Instituciones educativas saludables promueven salud sexual y reproductiva</t>
  </si>
  <si>
    <t>Población accede a métodos de planificación familiar</t>
  </si>
  <si>
    <t>Pareja Protegida</t>
  </si>
  <si>
    <t>Población accede a servicios de consejería en salud sexual y reproductiva</t>
  </si>
  <si>
    <t>Atención de la gestante con complicaciones</t>
  </si>
  <si>
    <t>Gestante Atendida</t>
  </si>
  <si>
    <t>Atención del parto normal</t>
  </si>
  <si>
    <t>Parto Normal</t>
  </si>
  <si>
    <t>Atención del parto complicado no quirúrgico</t>
  </si>
  <si>
    <t>Parto  Complicado</t>
  </si>
  <si>
    <t>Atención del parto complicado quirúrgico</t>
  </si>
  <si>
    <t>Cesárea</t>
  </si>
  <si>
    <t>Atención del puerperio</t>
  </si>
  <si>
    <t>Atención Puerperal</t>
  </si>
  <si>
    <t>Atención del puerperio con complicaciones</t>
  </si>
  <si>
    <t>Egreso</t>
  </si>
  <si>
    <t>Atención obstétrica en unidad de cuidados intensivos</t>
  </si>
  <si>
    <t>Proyecto</t>
  </si>
  <si>
    <t>Acceso al sistema de referencia institucional</t>
  </si>
  <si>
    <t>Gestante/o Neonato Referido</t>
  </si>
  <si>
    <t>Atención del recién nacido normal</t>
  </si>
  <si>
    <t>Recién Nacido Atendido</t>
  </si>
  <si>
    <t>Atención del recién nacido con complicaciones</t>
  </si>
  <si>
    <t>Atención del recién nacido con complicaciones que requiere unidad de cuidados intensivos neonatales - UCIN</t>
  </si>
  <si>
    <t>Familias saludables informadas respecto de su salud sexual y reproductiva</t>
  </si>
  <si>
    <t>Monitoreo, supervisión, evaluación y control de la salud materno neonatal</t>
  </si>
  <si>
    <t>TBC-VIH/Sida</t>
  </si>
  <si>
    <t>Sintomáticos respiratorios con despistaje de tuberculosis</t>
  </si>
  <si>
    <t>Persona Atendida</t>
  </si>
  <si>
    <t>Personas con diagnóstico de tuberculosis</t>
  </si>
  <si>
    <t>Persona Diagnosticada</t>
  </si>
  <si>
    <t>Monitoreo, supervisión, evaluación y control de VIH/SIDA - tuberculosis</t>
  </si>
  <si>
    <t>Desarrollo de normas y guías técnicas VIH/SIDA y tuberculosis</t>
  </si>
  <si>
    <t>Familia con prácticas saludables para la prevención de VIH/SIDA y tuberculosis</t>
  </si>
  <si>
    <t>Instituciones educativas que promueven practicas saludables para la prevención de VIH/SIDA y tuberculosis</t>
  </si>
  <si>
    <t>Agentes comunitarios que promueven practicas saludables para prevención de VIH/SIDA y tuberculosis</t>
  </si>
  <si>
    <t>Persona Capacitada</t>
  </si>
  <si>
    <t>Adecuada bioseguridad en los servicios de atención de tuberculosis</t>
  </si>
  <si>
    <t>Trabajador Protegido</t>
  </si>
  <si>
    <t>Población informada sobre uso correcto de condón para prevención de infecciones de transmisión sexual y VIH/SIDA</t>
  </si>
  <si>
    <t>Personan Informada</t>
  </si>
  <si>
    <t>Adultos y jóvenes reciben consejería y tamizaje para infecciones de transmisión sexual y VIH/SIDA</t>
  </si>
  <si>
    <t>Población adolescente informada sobre infecciones de transmisión sexual y VIH/SIDA</t>
  </si>
  <si>
    <t>Persona 
Capacitada</t>
  </si>
  <si>
    <t>Población de alto riesgo recibe información y atención preventiva</t>
  </si>
  <si>
    <t>Persona 
Tratada</t>
  </si>
  <si>
    <t>Persona 
Atendida</t>
  </si>
  <si>
    <t>Persona
Tratada</t>
  </si>
  <si>
    <t>Persona que accede al EESS y recibe tratamiento oportuno para tuberculosis esquemas 1, 2, no multidrogo resistente y multidrogo resistente</t>
  </si>
  <si>
    <t>Población con infecciones de transmisión sexual reciben tratamiento según guía clínicas</t>
  </si>
  <si>
    <t>Personas diagnosticadas con VIH/SIDA que acuden a los servicios y reciben atención integral</t>
  </si>
  <si>
    <t>Persona Tratada</t>
  </si>
  <si>
    <t>Mujeres gestantes reactivas y niños expuestos al VIH reciben tratamiento oportuno</t>
  </si>
  <si>
    <t>Gestante 
Atendida</t>
  </si>
  <si>
    <t>Mujeres gestantes reactivas a sífilis y sus contactos y recién nacidos expuestos reciben tratamiento oportuno</t>
  </si>
  <si>
    <t>Persona que accede al EESS y recibe tratamiento oportuno para tuberculosis extremadamente drogo resistente (XDR)</t>
  </si>
  <si>
    <t>Personas en contacto de casos de tuberculosis con control y tratamiento preventivo (general, indígena, privada de su libertad)</t>
  </si>
  <si>
    <t>Pacientes con comorbilidad con despistaje y diagnóstico de tuberculosis</t>
  </si>
  <si>
    <t>Enfermedades Metaxenicas y zoonosis</t>
  </si>
  <si>
    <t>Instituciones educativas que promueven practicas saludables para la prevención de enfermedades metaxenicas y zoonóticas</t>
  </si>
  <si>
    <t>Viviendas</t>
  </si>
  <si>
    <t>Vacunación de animales domésticos</t>
  </si>
  <si>
    <t>Animal
Vacunado</t>
  </si>
  <si>
    <t>Diagnóstico y tratamiento de casos de enfermedades zoonóticas</t>
  </si>
  <si>
    <t>Comunidad con factores de riesgo controlados</t>
  </si>
  <si>
    <t>Enfermedades no transmisibles</t>
  </si>
  <si>
    <t>Atención estomatológica preventiva básica</t>
  </si>
  <si>
    <t>Atención estomatológica recuperativa básica</t>
  </si>
  <si>
    <t>Atención estomatológica especializada básica</t>
  </si>
  <si>
    <t>Tamizaje y diagnóstico de pacientes con cataratas</t>
  </si>
  <si>
    <t>Persona
Tamizada</t>
  </si>
  <si>
    <t>Tratamiento y control de pacientes con cataratas</t>
  </si>
  <si>
    <t>Persona
 Tratada</t>
  </si>
  <si>
    <t>Tratamiento y control de pacientes con errores refractivos</t>
  </si>
  <si>
    <t>Persona Tamizada</t>
  </si>
  <si>
    <t>Tratamiento y control de personas con hipertensión arterial</t>
  </si>
  <si>
    <t>Tratamiento y control de personas con diabetes</t>
  </si>
  <si>
    <t>Monitoreo, supervisión, evaluación y control de enfermedades no transmisibles</t>
  </si>
  <si>
    <t>Desarrollo de normas y guías técnicas en enfermedades no transmisibles</t>
  </si>
  <si>
    <t>Población informada y sensibilizada en el cuidado de la salud de las enfermedades no transmisibles (mental, bucal, ocular, metales pesados, hipertensión arterial y diabetes mellitus)</t>
  </si>
  <si>
    <t>Instituciones educativas que promueven practicas higiénicas sanitarias para prevenir las enfermedades no trasmisibles (mental, bucal, ocular, metales pesados, hipertensión arterial y diabetes mellitus)</t>
  </si>
  <si>
    <t>Municipio que desarrollan Acción dirigidas a prevenir las enfermedades no transmisibles ( mental, bucal, ocular, metales pesados, hipertensión arterial y diabetes mellitus)</t>
  </si>
  <si>
    <t>Tamizaje y tratamiento de pacientes con problemas y transtornos de salud mental</t>
  </si>
  <si>
    <t>Tamizaje y tratamiento de pacientes afectados por metales pesados</t>
  </si>
  <si>
    <t>Prevención y Control de Cáncer</t>
  </si>
  <si>
    <t>Mujer tamizada en cáncer de cuello uterino</t>
  </si>
  <si>
    <t>Mujeres con citología anormal con examen de crioterapia o cono LEEP</t>
  </si>
  <si>
    <t>Mujeres citología anormal con examen de colposcopia</t>
  </si>
  <si>
    <t>Monitoreo, supervisión, evaluación y control de prevención y control del cáncer</t>
  </si>
  <si>
    <t>Población informada y sensibilizada en el cuidado de la salud del cáncer de cérvix, cáncer de mama, cáncer gástrico, cáncer de próstata y cáncer de pulmón</t>
  </si>
  <si>
    <t>Desarrollo de normas y guías técnicas en prevención y control de cáncer</t>
  </si>
  <si>
    <t>Mujeres mayores de 18 años con consejería en cáncer de cérvix</t>
  </si>
  <si>
    <t>Mujeres mayores de 18 años con consejería en cáncer de mama</t>
  </si>
  <si>
    <t>Personas con consejería en la prevención del cáncer gástrico</t>
  </si>
  <si>
    <t>Varones mayores de 18 años con consejería en la prevención del cáncer de próstata</t>
  </si>
  <si>
    <t>Varones de 50 a 70 años con examen de tacto prostático por vía rectal</t>
  </si>
  <si>
    <t>Varones de 50 a 70 años con dosaje de PSA</t>
  </si>
  <si>
    <t>Población en edad escolar con consejería en prevención del cáncer de pulmón</t>
  </si>
  <si>
    <t>Mujeres de 40 a 65 años con mamografía Bilateral</t>
  </si>
  <si>
    <t>Población laboral con consejería en prevención del cáncer de pulmón</t>
  </si>
  <si>
    <t>Familias saludables con conocimiento de la prevención del cáncer de cuello uterino, mama, estomago, próstata, pulmón colon, recto, hígado, leucemia, linfoma, piel y otros.</t>
  </si>
  <si>
    <t>Municipios</t>
  </si>
  <si>
    <t>Reducción de vulnerabilidad y atención de emergencias por desastres</t>
  </si>
  <si>
    <t>Informe 
Técnico</t>
  </si>
  <si>
    <t>Planes</t>
  </si>
  <si>
    <t>Monitoreo, supervisión y evaluación de productos y actividades del sector salud en el programa presupuestal 068</t>
  </si>
  <si>
    <t>Informe Técnico</t>
  </si>
  <si>
    <t>Oferta complementaria organizada frente a emergencias y desastres.</t>
  </si>
  <si>
    <t>Capacidad de expansión asistencial en establecimientos de salud</t>
  </si>
  <si>
    <t>Establecimiento
 de Salud</t>
  </si>
  <si>
    <t>Seguridad estructural y no estructural de establecimiento de salud</t>
  </si>
  <si>
    <t>Establecimiento de Salud</t>
  </si>
  <si>
    <t>Seguridad funcional de establecimientos de salud</t>
  </si>
  <si>
    <t>Organización e implementación de simulacros</t>
  </si>
  <si>
    <t>Simulacro</t>
  </si>
  <si>
    <t>Centro de operaciones de emergencias de salud implementados para el análisis de la información y toma de decisiones ante situaciones de emergencias  y desastres</t>
  </si>
  <si>
    <t>Informes</t>
  </si>
  <si>
    <t>Atención de salud y movilización de brigadas frente a emergencias y desastres</t>
  </si>
  <si>
    <t>Atenciones</t>
  </si>
  <si>
    <t>Sin producto</t>
  </si>
  <si>
    <t>Inspección</t>
  </si>
  <si>
    <t>Pago de pensiones</t>
  </si>
  <si>
    <t>Unidad</t>
  </si>
  <si>
    <t>Planeamiento y presupuesto</t>
  </si>
  <si>
    <t>Asesoramiento jurídico</t>
  </si>
  <si>
    <t>Construcción y Equipamiento del Puesto de Salud Corazón de María - Socorro - Lajas - Chota</t>
  </si>
  <si>
    <t>Construcción y Equipamiento Centro de Salud Cabracancha-Distrito de Chota-Cajamarca</t>
  </si>
  <si>
    <t>ACTIVIDADES DE LA DIRECCION REGIONAL DE VIVIENDA, CONSTRUCCION Y SANEAMIENTO</t>
  </si>
  <si>
    <t>DIRECCIÓN DE VIVIENDA Y URBANISMO</t>
  </si>
  <si>
    <t>Promover la ejecución de Programas de Vivienda Urbanos y Rurales</t>
  </si>
  <si>
    <t>Difusión del Plan Nacional de Vivienda.</t>
  </si>
  <si>
    <t>Difusión de la normativa de edificación.</t>
  </si>
  <si>
    <t>Asesorar a Gobiernos  Locales para su participación en la convocatoria del Programa de Mejoramiento Integral de Barrios y Pueblos.</t>
  </si>
  <si>
    <t>Promover la formulación y ejecución de Planes de Desarrollo Urbano.</t>
  </si>
  <si>
    <t>DIRECCIÓN DE CONSTRUCCIÓN Y SANEAMIENTO</t>
  </si>
  <si>
    <t>Promoción, difusión, seguimiento y evaluación del Plan Regional de saneamiento integral.</t>
  </si>
  <si>
    <t>Eventos</t>
  </si>
  <si>
    <t>Promoción, difusión, seguimiento y evaluación de las Políticas Públicas Regionales  de Agua y Saneamiento</t>
  </si>
  <si>
    <t>ACTIVIDADES PERMANENTES</t>
  </si>
  <si>
    <t>Trámites</t>
  </si>
  <si>
    <t>Asesorar a grupos familiares para la participación del Bono Familiar Habitacional.</t>
  </si>
  <si>
    <t>Módulos ejecutadas</t>
  </si>
  <si>
    <t>Revisión de expedientes Técnicos y de estudios de Preinversión de saneamiento básico para su financiamiento.</t>
  </si>
  <si>
    <t>Seguimiento a proyectos cofinanciados por el Gobierno Regional</t>
  </si>
  <si>
    <t>Seguimiento</t>
  </si>
  <si>
    <t xml:space="preserve">Cerco Perimétrico Ml </t>
  </si>
  <si>
    <t>Reposición y Ampliación de la I.E Nº 16519 José Carlos Mariátegui-Huaranguillo</t>
  </si>
  <si>
    <t>Construcción Infraestructura y Mobiliario Escolar de la IEP N 16625 - Alto Tambillo - San Ignacio</t>
  </si>
  <si>
    <t>Sala de Usos Múltiples</t>
  </si>
  <si>
    <t>Adquisición de activos no financieros</t>
  </si>
  <si>
    <t>Gestión de redes educativas</t>
  </si>
  <si>
    <t>Desarrollo de la educación primaria de menores</t>
  </si>
  <si>
    <t>Gestión del currículo de II ciclo de educación básica regular</t>
  </si>
  <si>
    <t>Mantenimiento y acondicionamiento de espacios en locales de los Centros de educación básica especial y centros de recursos</t>
  </si>
  <si>
    <t>Mantenimiento y acondicionamiento de espacios en programas de intervención temprana</t>
  </si>
  <si>
    <t>Tanque séptico</t>
  </si>
  <si>
    <t>Mejoramiento Canal Ocshawilca</t>
  </si>
  <si>
    <t>ACTIVIDADES DE LA GERENCIA</t>
  </si>
  <si>
    <t>Comisiones</t>
  </si>
  <si>
    <t>Consultorias</t>
  </si>
  <si>
    <t>Comisión</t>
  </si>
  <si>
    <t>Personal</t>
  </si>
  <si>
    <t>Viáticos y Pasajes</t>
  </si>
  <si>
    <t>Adquisición de papelería en general, útiles y materiales de oficina, adquisición de alimentos, útiles de aseo, limpieza y tocador, servicio de alquiler de local para el funcionamiento de la GRDS, contratación de servicios (personal terceros), servicios de alimentación, impresiones, consultorías en beneficio del Gobierno Regional y de la DRDS, Viáticos y Pasajes.</t>
  </si>
  <si>
    <t>Acciones</t>
  </si>
  <si>
    <t xml:space="preserve">Multiprovincial  </t>
  </si>
  <si>
    <t xml:space="preserve">Foro </t>
  </si>
  <si>
    <t xml:space="preserve">Reunión </t>
  </si>
  <si>
    <t xml:space="preserve">Campañas </t>
  </si>
  <si>
    <t>Implementación de un programa de capacitación a las instituciones competentes en el tema de violencia familiar y sexual.</t>
  </si>
  <si>
    <t>Difusión de instrumentos  normativos y de políticas sobre la niñez y adolescencia.</t>
  </si>
  <si>
    <t>Contrato</t>
  </si>
  <si>
    <t>Documento</t>
  </si>
  <si>
    <t>Lista</t>
  </si>
  <si>
    <t>Registro</t>
  </si>
  <si>
    <t>Campaña</t>
  </si>
  <si>
    <t>Gastos Administrativos</t>
  </si>
  <si>
    <t>ACTIVIDADES ALDEA INFANTIL</t>
  </si>
  <si>
    <t xml:space="preserve">Abordaje psicológico (evaluación y tamizaje terapias) </t>
  </si>
  <si>
    <t xml:space="preserve">Atención integral en la salud y NUTRICION del albergado (aseguramiento, tramitación y atención) </t>
  </si>
  <si>
    <t>Formación y capacitación para dirección, equipo multidiciplinario,madres y tías sustitutas, personal administrativo.</t>
  </si>
  <si>
    <t>Gestión y desarrollo institucional (mantenimiento acreditación)</t>
  </si>
  <si>
    <t>Acciones
Informes</t>
  </si>
  <si>
    <t>Asesoría jurídica (defensa de casos, solución de conflictos legales, atención de escritos)</t>
  </si>
  <si>
    <t xml:space="preserve">Área educativa (monitoreo, supervision, acompañamiento educativo, reforzamiento)  </t>
  </si>
  <si>
    <t xml:space="preserve">Área  recreativa(arte música, paseos, artes plásticas, ludo terapias)  </t>
  </si>
  <si>
    <t>Talleres
Informes</t>
  </si>
  <si>
    <t>Plan nutricional</t>
  </si>
  <si>
    <t>Talleres internos para albergados</t>
  </si>
  <si>
    <t>Capacitaciones con el MIMP y JUZGADOS</t>
  </si>
  <si>
    <t>Manutención nutricional de los  albergados</t>
  </si>
  <si>
    <t xml:space="preserve">Servicios y atención que brinda el personal del CAR </t>
  </si>
  <si>
    <t>DIRECCIÓN REGIONAL DE TRABAJO Y PROMOCIÓN DEL EMPLEO</t>
  </si>
  <si>
    <t>Ficha</t>
  </si>
  <si>
    <t>Colocados</t>
  </si>
  <si>
    <t>Curso</t>
  </si>
  <si>
    <t>Programa de Orientación Vocacional SOVIO</t>
  </si>
  <si>
    <t>Test</t>
  </si>
  <si>
    <t>Charlas</t>
  </si>
  <si>
    <t>Alumnos</t>
  </si>
  <si>
    <t>Plan de Igualdad de Oportunidades PIO</t>
  </si>
  <si>
    <t>Encuesta Nacional de Variación Mensual del Empleo</t>
  </si>
  <si>
    <t>Encuesta</t>
  </si>
  <si>
    <t>Estadísticas Trimestrales de Intermediación Laboral</t>
  </si>
  <si>
    <t>Empresa</t>
  </si>
  <si>
    <t>Registros de empresas de Intermediación Laboral</t>
  </si>
  <si>
    <t>Convenio</t>
  </si>
  <si>
    <t>Observatorio Socio Económico Laboral - OSEL</t>
  </si>
  <si>
    <t>Notas de Prensa</t>
  </si>
  <si>
    <t>Boletín</t>
  </si>
  <si>
    <t>Afiche</t>
  </si>
  <si>
    <t xml:space="preserve">Dirección de Prevención y Solución Conflictos </t>
  </si>
  <si>
    <t>Inspecciones Programadas (Empresas Privadas)</t>
  </si>
  <si>
    <t>Conciliaciones (Empleador - Trabajador)</t>
  </si>
  <si>
    <t>Conciliación</t>
  </si>
  <si>
    <t>Servicio de Consultas (Trabajador y Empleador)</t>
  </si>
  <si>
    <t>Registro de Contratos de Trabajo Sujetos a Modalidad</t>
  </si>
  <si>
    <t>Contratos</t>
  </si>
  <si>
    <t>Registro de Contratos de Personal Extranjero</t>
  </si>
  <si>
    <t>Registro de Empresas que realizan actividades de Alto Riesgo</t>
  </si>
  <si>
    <t>Aprobación de Reglamento Interno de Trabajo</t>
  </si>
  <si>
    <t>Notificaciones (Decretos, Autos y Resoluciones)</t>
  </si>
  <si>
    <t>Notificación</t>
  </si>
  <si>
    <t>Publicación</t>
  </si>
  <si>
    <t>Capacitaciones (Seminarios, charlas y otros)</t>
  </si>
  <si>
    <t>Multas por infracciones a las Normas Sociolaborales</t>
  </si>
  <si>
    <t>Resolución</t>
  </si>
  <si>
    <t xml:space="preserve">Plan </t>
  </si>
  <si>
    <t>2.1.1</t>
  </si>
  <si>
    <t>2.1.2</t>
  </si>
  <si>
    <t>2.2.1</t>
  </si>
  <si>
    <t>Publicaciones</t>
  </si>
  <si>
    <t>2.2.2</t>
  </si>
  <si>
    <t>2.2.3</t>
  </si>
  <si>
    <t>2.2.4</t>
  </si>
  <si>
    <t>Gestión de efectivización de las funciones "e" y "q" del Art. 51 de la ley Orgánica de los Gobiernos Regionales</t>
  </si>
  <si>
    <t>Informe de gestión</t>
  </si>
  <si>
    <t>Sensibilización y capacitación en normatividad Forestal y de Fauna Silvestre</t>
  </si>
  <si>
    <t>Plantones</t>
  </si>
  <si>
    <t>Propiciar y participar espacios de planificación concertada Interinstitucional público y privado,  para el Desarrollo Agrario Regional. (Agenda Agraria, CODELAC, COREPO, otros)</t>
  </si>
  <si>
    <t>Espacios</t>
  </si>
  <si>
    <t>Reuniones</t>
  </si>
  <si>
    <t>Acuerdos Promov./ Implem.</t>
  </si>
  <si>
    <t>Promover eventos de capacitación para elaboración de planes de negocio.</t>
  </si>
  <si>
    <t>Participantes</t>
  </si>
  <si>
    <t>Consolidación y actualización Regional del registro de comités de bases sociales y delegados de las cooperativas, por provincia y corredor económico.</t>
  </si>
  <si>
    <t>Nº de socios</t>
  </si>
  <si>
    <t>N° de delegados</t>
  </si>
  <si>
    <t>Pasantías</t>
  </si>
  <si>
    <t>Personas capacitadas</t>
  </si>
  <si>
    <t>Promover eventos de fortalecimiento de capacidades en Producción, Transformación y Comercialización de productos orgánicos o ecológicos. dirigido a Directivos de las organizaciones y personal técnico.</t>
  </si>
  <si>
    <t>Directivos/TAP</t>
  </si>
  <si>
    <t>Promover el acceso a la Información de Mercado, en los Comités de Base, asociaciones y Cooperativas, para toma de decisiones.</t>
  </si>
  <si>
    <t>Autorización, promoción y participación en ferias y/o eventos agropecuarios de carácter provincial, regional, nacional e internacional.</t>
  </si>
  <si>
    <t>Resoluciones</t>
  </si>
  <si>
    <t>Expositores</t>
  </si>
  <si>
    <t>N° Ferias</t>
  </si>
  <si>
    <t>Facilitar la oferta de servicio de empresas certificadoras</t>
  </si>
  <si>
    <t>Nº Empresas</t>
  </si>
  <si>
    <t>Facilitar los criterios de las normas de certificación orgánica.</t>
  </si>
  <si>
    <t>TAP/Directivos</t>
  </si>
  <si>
    <t>Proyectos</t>
  </si>
  <si>
    <t>Chaccus</t>
  </si>
  <si>
    <t>Animales</t>
  </si>
  <si>
    <t xml:space="preserve">Comité </t>
  </si>
  <si>
    <t>DIRECCIÓN REGIONAL DE AGRICULTURA</t>
  </si>
  <si>
    <t>Gestión Administrativa</t>
  </si>
  <si>
    <t>Reportes</t>
  </si>
  <si>
    <t>Inventario</t>
  </si>
  <si>
    <t>Convenios</t>
  </si>
  <si>
    <t>Beneficiarios</t>
  </si>
  <si>
    <t>Inspecciones</t>
  </si>
  <si>
    <t>ACTIVIDADES DIRECCIÓN REGIONAL DE PRODUCCIÓN</t>
  </si>
  <si>
    <t>DESARROLLO DE LA ACTIVIDAD ACUICOLA EN EL CENTRO DE DESARROLLO</t>
  </si>
  <si>
    <t>1.1.1</t>
  </si>
  <si>
    <t>1.1.2</t>
  </si>
  <si>
    <t>1.1.3</t>
  </si>
  <si>
    <t>Organización</t>
  </si>
  <si>
    <t>Constancia</t>
  </si>
  <si>
    <t>Credencial</t>
  </si>
  <si>
    <t>Empresas</t>
  </si>
  <si>
    <t>Fomentar iniciativas y proyectos para el Desarrollo de las MYPEs y Cooperativas.</t>
  </si>
  <si>
    <t>Sistema</t>
  </si>
  <si>
    <t>3.3.</t>
  </si>
  <si>
    <t>INDUSTRIA</t>
  </si>
  <si>
    <t>GESTIÓN ADMINISTRATIVA</t>
  </si>
  <si>
    <t>Promoción y Desarrollo de la Acuicultura</t>
  </si>
  <si>
    <t>ACTIVIDADES DIRECCIÓN REGIONAL DE ENERGÍA Y MINAS</t>
  </si>
  <si>
    <t>ACCIONES ENCAMINADAS PARA LA GENERACION, TRANSMISION Y DISTRIBUCION DE ENERGIAS</t>
  </si>
  <si>
    <t>Fiscalización</t>
  </si>
  <si>
    <t>Evaluación de declaración de Impacto Ambiental el sector hidrocarburos.</t>
  </si>
  <si>
    <t>Evaluación</t>
  </si>
  <si>
    <t>Capacitación sobre normatividad legal del sector hidrocarburos.</t>
  </si>
  <si>
    <t>Capacitación</t>
  </si>
  <si>
    <t>1.2.1</t>
  </si>
  <si>
    <t>Elaboración del Inventario Energético Regional</t>
  </si>
  <si>
    <t>Hualgayoc-Bambamarca</t>
  </si>
  <si>
    <t>1.2.2</t>
  </si>
  <si>
    <t>Evaluación de declaración de Impacto  en el sector electricidad.</t>
  </si>
  <si>
    <t>Evaluación de declaración de impacto ambiental</t>
  </si>
  <si>
    <t>1.2.3</t>
  </si>
  <si>
    <t>Capacitación sobre normatividad legal del sector electricidad</t>
  </si>
  <si>
    <t>ACCIONES ADMINISTRATIVAS ORIENTADAS A LA ACTIVIDAD MINERA</t>
  </si>
  <si>
    <t>Petitorio Minero</t>
  </si>
  <si>
    <t>Expediente</t>
  </si>
  <si>
    <t>Expediente  de Certificado de Operación Minera</t>
  </si>
  <si>
    <t>SUPERVISION Y FISCALIZACION MINERA EN LA PROVINCIA DE CAJAMARCA , DEPARTAMENTO DE CAJAMARCA</t>
  </si>
  <si>
    <t>Elaboración del Plan Anual de Seguridad y Salud Ocupacional.</t>
  </si>
  <si>
    <t>Inspección sobre extracción ilícita de minerales en agravio del estado.</t>
  </si>
  <si>
    <t>Diligencia de constatación fiscal.</t>
  </si>
  <si>
    <t>Hidrocarburos</t>
  </si>
  <si>
    <t>Electricidad</t>
  </si>
  <si>
    <t>Asuntos Ambientales</t>
  </si>
  <si>
    <t>ACTIVIDADES DIRECCIÓN REGIONAL DE COMERCIO EXTERIOR Y TURISMO</t>
  </si>
  <si>
    <t>ACCIONES DE TURISMO EN LA REGIÓN CAJAMARCA</t>
  </si>
  <si>
    <t xml:space="preserve">Promover el desarrollo turístico mediante potencialidades regionales </t>
  </si>
  <si>
    <t>Perfil</t>
  </si>
  <si>
    <t>Calificar a los prestadores de los servicios turísticos de la región de acuerdo con las normas legales</t>
  </si>
  <si>
    <t>Expedientes</t>
  </si>
  <si>
    <t xml:space="preserve">Acciones </t>
  </si>
  <si>
    <t>Supervisar la correcta aplicación de las normas legales</t>
  </si>
  <si>
    <t>Promover la formación y capacitación del personal que participa en la actividad turística</t>
  </si>
  <si>
    <t>Organizar y conducir las actividades de promoción turística de la región: Carnaval de Cajamarca, Florecer, Corpus Christy, Feria de Fongal, Semana Turística.</t>
  </si>
  <si>
    <t>Rutas Turísticas</t>
  </si>
  <si>
    <t>Actividades de apoyo a la artesanía</t>
  </si>
  <si>
    <t>ACCIONES ORIENTADAS AL FOMENTO DEL COMERCIO INTERNO Y EXTERNO</t>
  </si>
  <si>
    <t>Actividades de capacitación y transferencia tecnológica</t>
  </si>
  <si>
    <t>Elaborar y ejecutar estrategias y el programa de oferta exportable y de promoción de las exportaciones regionales</t>
  </si>
  <si>
    <t>Identificar oportunidades comerciales para los productos de la región y promover la participación privada en proyectos de inversión en la región</t>
  </si>
  <si>
    <t>Elaboración del Plan Turístico Provincial</t>
  </si>
  <si>
    <t xml:space="preserve"> Capacitación y Asistencia Técnica</t>
  </si>
  <si>
    <t>San Miguel</t>
  </si>
  <si>
    <t>Km</t>
  </si>
  <si>
    <t>Cajabamba</t>
  </si>
  <si>
    <t>Contumazá</t>
  </si>
  <si>
    <t>Hualgayoc</t>
  </si>
  <si>
    <t>San Pablo</t>
  </si>
  <si>
    <t>Acciones Administrativas - Cajamarca</t>
  </si>
  <si>
    <t>Acciones Administrativas - Chota</t>
  </si>
  <si>
    <t>Acciones Administrativas - Jaén</t>
  </si>
  <si>
    <t xml:space="preserve">Acciones Administrativas - Cajamarca </t>
  </si>
  <si>
    <t>Mejoramiento de los Sistemas de Telecomunicaciones</t>
  </si>
  <si>
    <t>Sistemas</t>
  </si>
  <si>
    <t>Acciones administrativas de telecomunicaciones</t>
  </si>
  <si>
    <t>ALTA DIRECCIÓN</t>
  </si>
  <si>
    <t>PRESIDENCIA</t>
  </si>
  <si>
    <t>Actividades de la Presidencia</t>
  </si>
  <si>
    <t>VICE PRESIDENCIA</t>
  </si>
  <si>
    <t>Actividades de la Vice Presidencia</t>
  </si>
  <si>
    <t>ACTIVIDADES DE GERENCIA GENERAL</t>
  </si>
  <si>
    <t>Supervisar y evaluar la ejecución del Plan de Desarrollo Regional Concertado</t>
  </si>
  <si>
    <t>Monitorear y supervisar la formulación y evaluación del Plan Anual</t>
  </si>
  <si>
    <t>Plan Aprobado</t>
  </si>
  <si>
    <t>Evaluación Física</t>
  </si>
  <si>
    <t>Evaluación Financiera</t>
  </si>
  <si>
    <t>Monitorear, supervisar y evaluar la formulación del Presupuesto Participativo</t>
  </si>
  <si>
    <t>Propuestas de acuerdos de cooperación con otros gobiernos regionales y estratégias de acciones macroregionales</t>
  </si>
  <si>
    <t xml:space="preserve">Acuerdo </t>
  </si>
  <si>
    <t>Supervisar, monitorear y evaluar la ejecución de programas y proyectos de impacto regional</t>
  </si>
  <si>
    <t>Monitorear, supervisar y evaluar la ejecución de las Políticas y Estrategias del Gobierno Regional</t>
  </si>
  <si>
    <t>Dirigir la Junta de Gerentes</t>
  </si>
  <si>
    <t>Juntas</t>
  </si>
  <si>
    <t>Acuerdos Ejecutados</t>
  </si>
  <si>
    <t>Supervisar y evaluar la aplicación de normas jurídicas, técnicas y administrativas</t>
  </si>
  <si>
    <t>Controlar la ejecución de convenios o contratos</t>
  </si>
  <si>
    <t>Efectuar coordinaciones con los organismos y dependencias del Gobierno Nacional, para efectuar gestiones a favor del Gobierno Regional</t>
  </si>
  <si>
    <t>ASESORAMIENTO ALTA DIRECCIÓN</t>
  </si>
  <si>
    <t>ACTIVIDADES SECRETARÍA GENERAL</t>
  </si>
  <si>
    <t>Convocatoria a sesión de directorio de Gerentes ordinaria y extraordinaria, elaorar acta de sesión de directorio de gerentes, registrar los acuerdos en directorio de Gerente</t>
  </si>
  <si>
    <t>Actas</t>
  </si>
  <si>
    <t>Conducir los Procesos de Recepción, Revisión, Registro, Trámite y Seguimiento de Documentación, Notificar Resoluciones de Presidencia, Gerencia General,Gerencias Regionales y otra documentación, Recepción, Registro Trámite de Documentos a diferentes áreas, Unidades Ejecutoras e Instituciones varias</t>
  </si>
  <si>
    <t>Archivos de interés institucional, legajo y administración de documentos (Resoluciones, Convenios, Addendas, Oficios, Cartas Notariales). Recepción, Registro, Trámite de Documentos a diferentes áreas, Unidades Ejecutoras e Instituciones varias</t>
  </si>
  <si>
    <t>Miltiprovincial</t>
  </si>
  <si>
    <t>Oficios</t>
  </si>
  <si>
    <t>Inventario del Archivo Institucional (registro, inventario, almacenamiento de documentación)</t>
  </si>
  <si>
    <t xml:space="preserve">Cajamarca </t>
  </si>
  <si>
    <t>Series Documentales</t>
  </si>
  <si>
    <t>ACTIVIDADES OFICINA DE ENLACE</t>
  </si>
  <si>
    <t>Acciones de la responsable de la Oficina de Enlace en Lima</t>
  </si>
  <si>
    <t>N/C</t>
  </si>
  <si>
    <t>ACTIVIDADES SECRETARÍA CONSEJO REGIONAL</t>
  </si>
  <si>
    <t>Organizar y dirigir el servicio administrativo del Consejo Regional del Gobierno Regional Cajamarca</t>
  </si>
  <si>
    <t>Apoyo en la gestión y desarrollo de la sesiones de Consejo Regional y Audiencias Públicas.</t>
  </si>
  <si>
    <t>Convocatorias</t>
  </si>
  <si>
    <t>Redactar las actas  de Consejo Regional en sesiones Extraordinarias y Ordinarias.</t>
  </si>
  <si>
    <t xml:space="preserve">Actas </t>
  </si>
  <si>
    <t xml:space="preserve">Elaboración de Ordenanzas Regionales </t>
  </si>
  <si>
    <t>Ordenanzas</t>
  </si>
  <si>
    <t xml:space="preserve">Elaboración de Acuerdos Regionales </t>
  </si>
  <si>
    <t>Acuerdos</t>
  </si>
  <si>
    <t>Apoyo a los Consejeros Regionales en cuanto a la elaboración de su documentación.</t>
  </si>
  <si>
    <t>Mociones de Orden del día</t>
  </si>
  <si>
    <t>Pedidos</t>
  </si>
  <si>
    <t>Dictámenes</t>
  </si>
  <si>
    <t>ACTIVIDADES PROCURADURÍA PÚBLICA REGIONAL</t>
  </si>
  <si>
    <t xml:space="preserve">Procesos Civiles </t>
  </si>
  <si>
    <t xml:space="preserve">Demanda </t>
  </si>
  <si>
    <t>Procesos Penales</t>
  </si>
  <si>
    <t xml:space="preserve">Denuncia </t>
  </si>
  <si>
    <t xml:space="preserve">Acciones Judiciales </t>
  </si>
  <si>
    <t xml:space="preserve">Escritos y Audiencias Judiciales </t>
  </si>
  <si>
    <t xml:space="preserve">Procesos Arbitrales </t>
  </si>
  <si>
    <t xml:space="preserve">Petición </t>
  </si>
  <si>
    <t>Procesos Judiciales Derivados de Arbitraje</t>
  </si>
  <si>
    <t xml:space="preserve">Conciliación </t>
  </si>
  <si>
    <t>Petición</t>
  </si>
  <si>
    <t>ACTIVIDADES DE DIRECCIÓN DE ASESORIA JURIDICA</t>
  </si>
  <si>
    <t xml:space="preserve">Elaboración de proyectos de resoluciones </t>
  </si>
  <si>
    <t xml:space="preserve">Elaboración de informes legales </t>
  </si>
  <si>
    <t xml:space="preserve">Elaboración de dictámenes legales </t>
  </si>
  <si>
    <t>Dictámen</t>
  </si>
  <si>
    <t>Absolución de consultas</t>
  </si>
  <si>
    <t>Consulta</t>
  </si>
  <si>
    <t>Elaboración de convenios</t>
  </si>
  <si>
    <t>Elaboración de adendas</t>
  </si>
  <si>
    <t>Adenda</t>
  </si>
  <si>
    <t>ACTIVIDADES DE DIRECCIÓN REGIONAL DE ADMINISTRACIÓN</t>
  </si>
  <si>
    <t>ACTIVIDADES DE DIRECCIÓN</t>
  </si>
  <si>
    <t>Acciones de la Dirección de Administración</t>
  </si>
  <si>
    <t>Transferencia financiera de recursos de gobiernos locales</t>
  </si>
  <si>
    <t>Transferencias</t>
  </si>
  <si>
    <t>ACTIVIDADES DE DIRECCIÓN PERSONAL</t>
  </si>
  <si>
    <t>Plan regional de capacitación</t>
  </si>
  <si>
    <t>Plla. Mensual</t>
  </si>
  <si>
    <t>Beneficios sociales-documentos de gestion, procesos  de reconocimiento  por demandas judiciales</t>
  </si>
  <si>
    <t>Escalafón, inventario, registro y atenciones, control actualización documentaria, declaraciones juradas,sustentacion,implementación. Gestión y otorgamiento ships de identificación personal CAS.</t>
  </si>
  <si>
    <t>Acciones de control de  la asistencia y permanencia del personal</t>
  </si>
  <si>
    <t>Pago de pensiones, beneficios y demás servicios a los cesantes y jubilados</t>
  </si>
  <si>
    <t>Cesantes</t>
  </si>
  <si>
    <t>ACTIVIDADES DE DIRECCIÓN DE PATRIMONIO</t>
  </si>
  <si>
    <t>Capacitación realizado por personas jurídicas</t>
  </si>
  <si>
    <t>Contrato Administrativo de servicios</t>
  </si>
  <si>
    <t>Contribuciones a ESSALUD de CAS</t>
  </si>
  <si>
    <t>Derechos administrativos</t>
  </si>
  <si>
    <t>ACTIVIDADES DE DIRECCIÓN DE TESORERÍA</t>
  </si>
  <si>
    <t>Elaboración Libro Caja</t>
  </si>
  <si>
    <t>Libro</t>
  </si>
  <si>
    <t xml:space="preserve">Elaboración Conciliaciones Bancarias </t>
  </si>
  <si>
    <t>Documentos</t>
  </si>
  <si>
    <t>Elaboración Comprobantes de pago por Fte de Fto.</t>
  </si>
  <si>
    <t>Comprobante</t>
  </si>
  <si>
    <t>Elaboración Cheques Por Fte Fto</t>
  </si>
  <si>
    <t>Cheque</t>
  </si>
  <si>
    <t>Elaboración de Recibos de Ingreso</t>
  </si>
  <si>
    <t>Recibo</t>
  </si>
  <si>
    <t>Elaboración Formatos de retención</t>
  </si>
  <si>
    <t>Elaboración Cuadros Informativos de Cartas Fianzas</t>
  </si>
  <si>
    <t>Elaboración Cuadros Cartas Fianza de Seriedad de Oferta</t>
  </si>
  <si>
    <t>Custodia de Cartas Fianzas de Seriedad de Oferta</t>
  </si>
  <si>
    <t>Control y Custodia Cartas Fianzas Adelantos, Fiel Cumplimiento</t>
  </si>
  <si>
    <t>Carta</t>
  </si>
  <si>
    <t>Pago de Obligaciones Tributarias,PDT-Retención IGV.</t>
  </si>
  <si>
    <t>Formato</t>
  </si>
  <si>
    <t xml:space="preserve">Pago PDT Remuneraciones e I.R. </t>
  </si>
  <si>
    <t>Pago de AFP</t>
  </si>
  <si>
    <t>Rendición y Reposición FFPPEE</t>
  </si>
  <si>
    <t>Rendición</t>
  </si>
  <si>
    <t>Práctica arqueos sorpresivos a nivel regional</t>
  </si>
  <si>
    <t>Arqueo</t>
  </si>
  <si>
    <t>Directivas Internas Sistema Tesorería</t>
  </si>
  <si>
    <t>Directiva</t>
  </si>
  <si>
    <t>Capacitación Sistema de Tesorería</t>
  </si>
  <si>
    <t>Desarrollo de actividades administrativas</t>
  </si>
  <si>
    <t>Profesional</t>
  </si>
  <si>
    <t>Atenciones de diferentes necesidades de la SEDE por el Fondo de Caja Chica.</t>
  </si>
  <si>
    <t xml:space="preserve">Registro administrativo de fase de compromisos y devengados  en el SIAF - SP   de todos los documentos de gastos que generan afectación presupuestal </t>
  </si>
  <si>
    <t>Registro SIAF-SP</t>
  </si>
  <si>
    <t xml:space="preserve">Registro administrativo de fase de compromisos y devengados  en el SIGA   de los documentos de gastos que generan afectación presupuestal </t>
  </si>
  <si>
    <t>Supervisión a las diferentes Unidades Ejecutoras sobre operatividad Contable.</t>
  </si>
  <si>
    <t>Unidades Ejecutoras</t>
  </si>
  <si>
    <t>Registro de Certificaciones Presupuestales, ampliaciones y rebajas  en el Sistema SIAP-SP</t>
  </si>
  <si>
    <t>Certificados presupuestales</t>
  </si>
  <si>
    <t>Registro Contable en el SIAF-SP de todos los Documentos de Gastos comprometidos, devengados, girados y pagados</t>
  </si>
  <si>
    <t>Nº Expedientes registrados en SIAF</t>
  </si>
  <si>
    <t>Registro Contable en el SIAF-SP de todos los Documentos de ingresos de las fases determinado y recaudado</t>
  </si>
  <si>
    <t>Formulación y Presentación de los Estados Financieros y Presupuestarios de la Sede Central del GRC</t>
  </si>
  <si>
    <t>EE.FF y EE.PP Sede Central</t>
  </si>
  <si>
    <t>Consolidación e integración de los Estados Financieros y Presupuestarios de las Unidades Ejecutoras del Pliego 445 GRC</t>
  </si>
  <si>
    <t>EE.FF y EE.PP Unidad Ejecutora</t>
  </si>
  <si>
    <t>Presentación de Estados Financieros y Presupuestarios Pliego 445 GRCa la DNCP-MEF</t>
  </si>
  <si>
    <t>EE.FF y EE.PP Pliego</t>
  </si>
  <si>
    <t>Conciliación Contable de las cuentas que conforman los Estados Financieros  trimestral</t>
  </si>
  <si>
    <t>Arqueos de fondos sorpresivos a la Oficina de Caja de la Sede Central del GRC</t>
  </si>
  <si>
    <t>Arqueos de Fondos</t>
  </si>
  <si>
    <t xml:space="preserve">Registro de fase de rendiciones de viáticos en el Sistema SIAF-SP </t>
  </si>
  <si>
    <t xml:space="preserve">Nº de expedientes </t>
  </si>
  <si>
    <t xml:space="preserve">Revisión de documentos comprometidos y devengados de las Planillas de haberes según regímenes </t>
  </si>
  <si>
    <t>Registro en el sistema SIAF-SP de notas contables mensuales</t>
  </si>
  <si>
    <t>Nº de notas contables</t>
  </si>
  <si>
    <t>Conciliación de las Cuentas de Enlace de la  Sede Central   y Pliego</t>
  </si>
  <si>
    <t>Nº Expedientes</t>
  </si>
  <si>
    <t>Conciliación de las Cuentas de Enlace del pliego 445 GRC y presentación a la DNTP-MEF</t>
  </si>
  <si>
    <t>Registro de saldos de fondos públicos -SAFOP  del Pliego 445 GRC y presentación a la DNTP-MEF</t>
  </si>
  <si>
    <t>Seguimiento e implementación de medidas correctivas derivados de Examenes especiales realizado por la  Oficina Regional de Control Institucional</t>
  </si>
  <si>
    <t>ACTIVIDADES DE CONTROL PREVIO</t>
  </si>
  <si>
    <t xml:space="preserve"> Acciones de control previo de administración</t>
  </si>
  <si>
    <t>ACTIVIDADES DIRECCIÓN DE ABASTECIMIENTOS</t>
  </si>
  <si>
    <t>Unidad de Procesos de Selección</t>
  </si>
  <si>
    <t>Procesos de Selección - Ejecución de Obras</t>
  </si>
  <si>
    <t>Proceso</t>
  </si>
  <si>
    <t xml:space="preserve">Procesos de Selección - Contratación de Consultoría de Obras </t>
  </si>
  <si>
    <t xml:space="preserve">Procesos de Selección - Adquisición de Bienes </t>
  </si>
  <si>
    <t>Procesos de Selección - Contratación de Servicios</t>
  </si>
  <si>
    <t>Otras Actividades (Expedientes de Contratación y Plan Anual)</t>
  </si>
  <si>
    <t>Unidad de Almacén</t>
  </si>
  <si>
    <t>Reporte mensual de Ingreso de órdenes de Compra.</t>
  </si>
  <si>
    <t>Elaboración de Pecosas</t>
  </si>
  <si>
    <t>Elaboración de NEAS</t>
  </si>
  <si>
    <t>Elaboración de documentos (Informes, oficios, etc.)</t>
  </si>
  <si>
    <t>Unidad de Servicios Auxiliares</t>
  </si>
  <si>
    <t>Atención de pedidos de servicio para la adquisición de los mismos.</t>
  </si>
  <si>
    <t>Pedido Atendido</t>
  </si>
  <si>
    <t>Cotizaciones para la adquisición de servicios.</t>
  </si>
  <si>
    <t>Cotización</t>
  </si>
  <si>
    <t>Elaboración de  la orden de servicio en el SIGA para la Adquisición de servicios.</t>
  </si>
  <si>
    <t>Orden de servicio</t>
  </si>
  <si>
    <t>Registro administrativo de fase de compromiso en el SIGA de las órdenes de servicio.</t>
  </si>
  <si>
    <t>Registro administrativo de fase de compromiso en el SIAF-SP de las órdenes de servicio.</t>
  </si>
  <si>
    <t>Unidad de Adquisiciones</t>
  </si>
  <si>
    <t>Atención de pedidos de bienes para la adquisición de los mismos.</t>
  </si>
  <si>
    <t>Indagación de mercado para la adquisición de bienes</t>
  </si>
  <si>
    <t>Indagación</t>
  </si>
  <si>
    <t>Elaboración de la órden de compra en el SIGA para la adquisición de bienes.</t>
  </si>
  <si>
    <t>Orden</t>
  </si>
  <si>
    <t>Registro administrativo de fase de compromiso en el SIGA de las órdenes de compra.</t>
  </si>
  <si>
    <t>Registro administrativo de fase de compromiso en el SIAF-SP de las órdenes de compra</t>
  </si>
  <si>
    <t>GERENCIA REGIONAL DE PLANEAMIENTO, PRESUPUESTO Y 
ACONDICIONAMIENTO TERRITORIAL</t>
  </si>
  <si>
    <t>ACTIVIDADES DE SUBGERENCIA DE DESARROLLO INSTITUCIONAL</t>
  </si>
  <si>
    <t xml:space="preserve">Elaboración de documentos normativos de gestión institucional y administrativa. (Directivas, Reglamentos y otros) </t>
  </si>
  <si>
    <r>
      <rPr>
        <sz val="10"/>
        <rFont val="Calibri"/>
        <family val="2"/>
        <scheme val="minor"/>
      </rPr>
      <t>Implementación de acciones sobre Simplificación Administrativa</t>
    </r>
    <r>
      <rPr>
        <b/>
        <sz val="10"/>
        <rFont val="Calibri"/>
        <family val="2"/>
        <scheme val="minor"/>
      </rPr>
      <t>.</t>
    </r>
  </si>
  <si>
    <t>Acciones de reforzamiento y asistencia técnica a entidades y dependencias del Gobierno Regional Cajamarca</t>
  </si>
  <si>
    <t>Elaboración Plan Anual</t>
  </si>
  <si>
    <t>Actualización documentos de Gestión Institucional: ROF, MOF, CAP</t>
  </si>
  <si>
    <t>Talleres Capacitación formulación ROF</t>
  </si>
  <si>
    <t>Talleres Capacitación para actualización TUPA</t>
  </si>
  <si>
    <t>Actualización TUPA Gobierno Regional</t>
  </si>
  <si>
    <t>Capacitación, promoción y difusión en gestión administrativa e institucional</t>
  </si>
  <si>
    <t>Apoyo acciones de Contrataciones del Estado</t>
  </si>
  <si>
    <t>Actividades de difusión gráfica aspectos de gestión administrativa e institucional</t>
  </si>
  <si>
    <t xml:space="preserve">Boletín </t>
  </si>
  <si>
    <t>SUB GERENCIA DE PROGRAMACIÓN E INVERSIÓN PÚBLICA-OPI</t>
  </si>
  <si>
    <t>Evaluación de estudios de Preinversión</t>
  </si>
  <si>
    <t>Evaluación de estudios de TDR´S</t>
  </si>
  <si>
    <t>Evaluación de estudios de Planes de Trabajo</t>
  </si>
  <si>
    <t>Evaluación de Verificatorias de Viabilidad</t>
  </si>
  <si>
    <t>Declaratoria de Viabilidad de Estudios de Preinversión</t>
  </si>
  <si>
    <t>Visitas de Campo para evaluación</t>
  </si>
  <si>
    <t>Evaluación y Registro del Informe de Consistencia (F - 15)</t>
  </si>
  <si>
    <t>Elaboración y Registro de Modificaciones en Fase de Inversión (F - 16)</t>
  </si>
  <si>
    <t>Evaluación y Registro de Informes de Cierre (F - 14)</t>
  </si>
  <si>
    <t>Seguimiento a Proyectos de Inversión Pública.</t>
  </si>
  <si>
    <t>Organización y seguimiento de las acciones del Comité Regional de Inversiones</t>
  </si>
  <si>
    <t>Opiniones Técnicas</t>
  </si>
  <si>
    <t>Opinión</t>
  </si>
  <si>
    <t>Reuniones de Coordinación, Difusión y Asistencia Técnica.</t>
  </si>
  <si>
    <t>Mantenimiento y Actualización del Sistema de Control de Evaluaciones de PIPs.</t>
  </si>
  <si>
    <t>ACTIVIDADES DE SUB GERENCIA DE PRESUPUESTO Y TRIBUTACIÓN</t>
  </si>
  <si>
    <t xml:space="preserve">Asignación Programación de Compromisos Anual - PCA
 - Ajustes internos de la PCA a nivel de Pliego
 - Incremento y/o disminución de la PCA  a nivel de Pliego
 - Distribución de la PCA a nivel de Unidad Ejecutora </t>
  </si>
  <si>
    <t>Aprobación de Certificaciones del Crédito Presupuestal, así como las respectivas ampliaciones</t>
  </si>
  <si>
    <t>Emisión de opiniones presupuestales</t>
  </si>
  <si>
    <t>Seguimiento a la Ejecución del Gasto</t>
  </si>
  <si>
    <t>Elaboración de Informes para emisión de Resoluciones Ejecutivas Regionales</t>
  </si>
  <si>
    <t>Seguimiento a la emisión de normas que involucren temas de Presupuesto</t>
  </si>
  <si>
    <t>Cierre Presupuestal a nivel de Pliego</t>
  </si>
  <si>
    <t>Incorporación de los Saldos de Balance a nivel de Pliego</t>
  </si>
  <si>
    <t>Incorporación de Créditos Presupuestales</t>
  </si>
  <si>
    <t>Ingreso de Notas de Modificación Presupuestal</t>
  </si>
  <si>
    <t>Elaboración de resolución que aprueba las modificaciones presupuestales de las 27 unidades ejecutoras</t>
  </si>
  <si>
    <t>Solicitud de códigos de proyectos mediante pagina web de presupuesto</t>
  </si>
  <si>
    <t>Coordinación con la Oficina de Enlace - Lima (Oficios emitidos a la DGPP y DGETP)</t>
  </si>
  <si>
    <t>Capacitación y asesoramiento a las 27 Unidades Ejecutoras del Pliego 445: Gobierno Regional de Cajamarca, en cuanto a nuevos procedimientos contemplados en la Directiva de Ejecución Presupuestal</t>
  </si>
  <si>
    <t>Evaluación Anual del Presupuesto 2012</t>
  </si>
  <si>
    <t>Cierre del Marco Presupuestal 2013</t>
  </si>
  <si>
    <t>Formulación del Presupuesto 2014</t>
  </si>
  <si>
    <t>Gestión de proyectos</t>
  </si>
  <si>
    <t>Acciones de bienestar social:  preventivo promocionales, asistenciales, de servicio e investigacion: estudio socio económico</t>
  </si>
  <si>
    <t>ACTIVIDADES DIRECCIÓN REGIONAL DE CONTROL INSTITUCIONAL</t>
  </si>
  <si>
    <t>Acciones de Control Interno</t>
  </si>
  <si>
    <t>Acciones y Actividades de Control</t>
  </si>
  <si>
    <t>ACTIVIDADES DIRECCIÓN COMUNICACIÓN Y RELACIONES PÚBLICAS</t>
  </si>
  <si>
    <t>Producción y difusión de spot radiales</t>
  </si>
  <si>
    <t>Spot</t>
  </si>
  <si>
    <t>Producción y difusión de spot televisivos</t>
  </si>
  <si>
    <t>Elaboración y difusión de notas periodísticas</t>
  </si>
  <si>
    <t>Nota de  prensa</t>
  </si>
  <si>
    <t>Comunicados oficiales</t>
  </si>
  <si>
    <t>Comunicado</t>
  </si>
  <si>
    <t>Diagramación e impresión del boletin institucional</t>
  </si>
  <si>
    <t>Boletin</t>
  </si>
  <si>
    <t>Diagramación e impresión de revista institucional</t>
  </si>
  <si>
    <t>Revista</t>
  </si>
  <si>
    <t>Elaboración de afiches, trípticos, banners y gigantografías</t>
  </si>
  <si>
    <t>Diversos</t>
  </si>
  <si>
    <t>Organizar, ejecutar y dirigir ceremonias y acciones protocolares.</t>
  </si>
  <si>
    <t>Ceremonia</t>
  </si>
  <si>
    <t>Atender las solicitudes de información física y virtual</t>
  </si>
  <si>
    <t>Organización y difusión de las Audiencias Públicas Regionales</t>
  </si>
  <si>
    <t>Audiencia Pública</t>
  </si>
  <si>
    <t>ACTIVIDADES DEL CENTRO DE SISTEMAS E INFORMÁTICA</t>
  </si>
  <si>
    <t>Gestión Permanente</t>
  </si>
  <si>
    <t>Desarrollo de herramienta para mantenimiento de inventario de Hardware &amp; Software</t>
  </si>
  <si>
    <t>Inventario de Hardware &amp; Software</t>
  </si>
  <si>
    <t>Reporte</t>
  </si>
  <si>
    <t>Mejorar la comunicación electrónica entre la Sede y dependencias del GRC</t>
  </si>
  <si>
    <t>Implantación de la Mesa de Ayuda</t>
  </si>
  <si>
    <t>Publicar la información del GRC acorde a la ley de transparencia y acceso a la información</t>
  </si>
  <si>
    <t>Implantar los módulos de Patrimonio y  Procesos de Selección del SIGA en la Sede del GRC</t>
  </si>
  <si>
    <t>Incrementar el ancho de banda</t>
  </si>
  <si>
    <t>MB</t>
  </si>
  <si>
    <t>Mantenimiento de parque informático</t>
  </si>
  <si>
    <t>Ampliación de la interconectividad regional (Internet, telefonía y sistemas regionales)</t>
  </si>
  <si>
    <t>Análisis de Sistemas Regionales</t>
  </si>
  <si>
    <t>Diseño de Sistemas Regionales</t>
  </si>
  <si>
    <t>Implantación de Sistemas Regionales</t>
  </si>
  <si>
    <t>Capacitar en la Mesa de Ayuda, en correo electrónico,en MAD, en SIGA</t>
  </si>
  <si>
    <t>Realizar seminario de Gobierno Electrónico y Simplificación Administrativa</t>
  </si>
  <si>
    <t>Análisis y documentación de procesos administrativos</t>
  </si>
  <si>
    <t>Renovación del parque informático</t>
  </si>
  <si>
    <t>Mantenimiento y soporte a equipos de cómputo e informáticos de la Sede Central y otras dependencias del GRC</t>
  </si>
  <si>
    <t>Gestionar la aprobación del perfil del proyecto de interconexión regional</t>
  </si>
  <si>
    <t>1</t>
  </si>
  <si>
    <t>2</t>
  </si>
  <si>
    <t>Participación como miembro del Comité Regional de Inversiones -CRI</t>
  </si>
  <si>
    <t>Elaboración de la Memoria Institucional 2013 GRC</t>
  </si>
  <si>
    <t>Proceso Presupuesto Participativo Regional 2014</t>
  </si>
  <si>
    <t>Talleres Desconcentrados de Capacitacitación y Rendición de Cuentas</t>
  </si>
  <si>
    <t>Elaboración del Plan Anual  2014 del Gobierno Regional de 
Cajamarca</t>
  </si>
  <si>
    <t>Formulación</t>
  </si>
  <si>
    <t xml:space="preserve">Sistematización </t>
  </si>
  <si>
    <t>Aprobación</t>
  </si>
  <si>
    <t>Elaboración del Plan Anual  2015 del Gobierno Regional de Cajamarca</t>
  </si>
  <si>
    <t>Evaluación del Plan Anual 2013 del Gobierno Regional de Cajamarca</t>
  </si>
  <si>
    <t>Plan Regional de Cooperación Internacional No Reembolsable 2012-2015</t>
  </si>
  <si>
    <t>3.5.4. Aprobación Consejo Regional</t>
  </si>
  <si>
    <t>Gestión de la Cooperación Internacional</t>
  </si>
  <si>
    <t>Trámite de expedientes ONGs: Inscripción, renovación, devolución de IGV y adscripción de expertos</t>
  </si>
  <si>
    <t>Difundir convocatorias de Cooperación Técnica Internacional</t>
  </si>
  <si>
    <t xml:space="preserve">Difusión </t>
  </si>
  <si>
    <t>Elaboración de Primer y Segunda Audiencia</t>
  </si>
  <si>
    <t>Audiencia</t>
  </si>
  <si>
    <t>Evaluación de Audiencias Públicas primer y segunda</t>
  </si>
  <si>
    <t>Desarrollo e Integración Fronteriza.</t>
  </si>
  <si>
    <t>Monitoreo y Evaluación a la implementación de los Acuerdos del Comité de Frontera Zamora Chinchipe - Cajamarca.</t>
  </si>
  <si>
    <t>Informe.</t>
  </si>
  <si>
    <t>Conformación del Comité Regional de Desarrollo de Fronteras e Integración Fronteriza.</t>
  </si>
  <si>
    <t>Comité.</t>
  </si>
  <si>
    <t>Asistencia Técnica para conformación del Comité Provincial de Frontera de San Ignacio.</t>
  </si>
  <si>
    <t>Reunión.</t>
  </si>
  <si>
    <t>Fortalecimiento de la Institucionalidad de la Mancomunidad Regional del Qhapaq Ñan Nor Amazónico.</t>
  </si>
  <si>
    <t>Asistencia Técnica a la Mesa Directiva de la Mancomunidad Regional - Desarrollo de Reuniones de trabajo.</t>
  </si>
  <si>
    <t>15.1</t>
  </si>
  <si>
    <t>Documento.</t>
  </si>
  <si>
    <t>15.2</t>
  </si>
  <si>
    <t>Actualización del PDRC - CEPLAN</t>
  </si>
  <si>
    <t>16.1</t>
  </si>
  <si>
    <t>Elaboración de la Propuesta del Plan de Trabajo</t>
  </si>
  <si>
    <t xml:space="preserve">Socialización y aprobación del Plan de Trabajo </t>
  </si>
  <si>
    <t>Reuniones de coordinación CEPLAN para la implementación del Plan de Trabajo</t>
  </si>
  <si>
    <t>Conformación de equipo técnico de trabajo</t>
  </si>
  <si>
    <t>Liquidación del Proyecto "Gestión del Planeamiento Estratégico Regional"</t>
  </si>
  <si>
    <t>Conformar una comisión de liquidación para la revisión de los actuados y emitir informe</t>
  </si>
  <si>
    <t>Elaboración de informe de la comisión de liquidación</t>
  </si>
  <si>
    <t>Levantamiento de observaciones</t>
  </si>
  <si>
    <t>Emisión de Resolución de Cierre del Proyecto</t>
  </si>
  <si>
    <t>Construcción del Sistema de Planeamiento Operativo</t>
  </si>
  <si>
    <t>Elaboración de la Base de datos para el sistema</t>
  </si>
  <si>
    <t>Base de datos</t>
  </si>
  <si>
    <t>Aplicación de la base de datos del sistema</t>
  </si>
  <si>
    <t>Elaboración del Software para el sistema</t>
  </si>
  <si>
    <t>software</t>
  </si>
  <si>
    <t>Implementación del sistema</t>
  </si>
  <si>
    <t>6</t>
  </si>
  <si>
    <t>6.1</t>
  </si>
  <si>
    <t>9</t>
  </si>
  <si>
    <t>19.2</t>
  </si>
  <si>
    <t>19.3</t>
  </si>
  <si>
    <t>19.4</t>
  </si>
  <si>
    <t>ACTIVIDADES DE DIRECCIÓN REGIONAL DE DEFENSA NACIONAL</t>
  </si>
  <si>
    <t>Supervisión y monitoreo del sistema de defensa civil</t>
  </si>
  <si>
    <t>Informes de gestión</t>
  </si>
  <si>
    <t>Desarrollo de los centros de operación de emergencias</t>
  </si>
  <si>
    <t>Centro de Operaciones de Emergencia Provincial (COEP)</t>
  </si>
  <si>
    <t>Reabastecimiento del Almacén Regional y Almacenes Adelantados de Defensa Civil del ámbito regional de Cajamarca</t>
  </si>
  <si>
    <t>Entrega adecuada y oportuna de bienes de ayuda humanitaria</t>
  </si>
  <si>
    <t>Acciones conducentes de Defensa Nacional y Movilización</t>
  </si>
  <si>
    <t>Apoyo social a poblaciones vulnerables</t>
  </si>
  <si>
    <t>Reuniones de coordinación</t>
  </si>
  <si>
    <t>Plan Regional de Seguridad Ciudadana de Cajamarca</t>
  </si>
  <si>
    <t>Evento de participación vecinal con la "Caminata por la Seguridad Ciudadana"</t>
  </si>
  <si>
    <t>Pasacalle</t>
  </si>
  <si>
    <t>Capacitación y sensibilización en Gestión de Riesgo de Desastres, Seguridad Ciudadana y Defensa Nacional</t>
  </si>
  <si>
    <t>Simulacros de sismo a nivel regional y local</t>
  </si>
  <si>
    <t>Capacitación sobre el Programa Presupuestal 068 - Reducción de Vulnerabilidad y Atención de Emergencias por Desastres</t>
  </si>
  <si>
    <t>Capacitación sobre la incorporación de la Gestión del Riesgo de Desastres en las Universidades</t>
  </si>
  <si>
    <t>Capacitación en Gestión del Riesgo de Desastres y Seguridad Ciudadana dirigido a Juntas Vecinales y Rondas Urbanas</t>
  </si>
  <si>
    <t>Capacitación en Seguridad Ciudadana dirigido a Rondas Campesinas</t>
  </si>
  <si>
    <t>Apoyo por emergencia en servicios e infraestructura pública</t>
  </si>
  <si>
    <t>Apoyo por peligro inminente o reducción de vulnerabilidades</t>
  </si>
  <si>
    <t>Prevención y Mitigación de Desastres</t>
  </si>
  <si>
    <t>Defensa Nacional</t>
  </si>
  <si>
    <t>Seguridad Ciudadana</t>
  </si>
  <si>
    <t>Atención de Emergencias y Desastres</t>
  </si>
  <si>
    <t>Mantenimiento y Reparación de Infraestructura por Emergencia</t>
  </si>
  <si>
    <t>GERENCIA REGIONAL DE PLANEAMIENTO PRESUPUESTO Y ACONDICIONAMIENTO TERRITORIAL</t>
  </si>
  <si>
    <t>ACTIVIDADES DE LA SUB GERENCIA DE ACONDICIONAMIENTO TERRITORIAL</t>
  </si>
  <si>
    <t>Demarcación Territorial</t>
  </si>
  <si>
    <t>Estudios de Diagnóstico de Zonificación Territorial</t>
  </si>
  <si>
    <t>Estudio</t>
  </si>
  <si>
    <t>Expedientes de Saneamiento y Organización Territorial</t>
  </si>
  <si>
    <t>Saneamiento de Límite Interdepartamental</t>
  </si>
  <si>
    <t>Acta</t>
  </si>
  <si>
    <t>Categorización de Centros Poblados</t>
  </si>
  <si>
    <t>Saneamiento Bienes del Estado</t>
  </si>
  <si>
    <t>Elaboración de expedientes de saneamiento de terrenos estatales</t>
  </si>
  <si>
    <t>Seguimiento a afectación de terrenos PEOT en Huabal Alto, San Felipe-Jaén, seguimiento COFODES</t>
  </si>
  <si>
    <t>Asistencia técnica a Unidades Ejecutoras en elaboración de expedientes para el saneamiento de sus bienes inmuebles</t>
  </si>
  <si>
    <t>Ordenamiento Territorial</t>
  </si>
  <si>
    <t>Asambleas Ordinarias y Extraordinarias</t>
  </si>
  <si>
    <t>Asambleas</t>
  </si>
  <si>
    <t>Elaboración del Plan de Acción para el POT</t>
  </si>
  <si>
    <t>Plan de acción</t>
  </si>
  <si>
    <t>Implementación PA</t>
  </si>
  <si>
    <t>Ordenanza Regional</t>
  </si>
  <si>
    <t>Acuerdo Regional</t>
  </si>
  <si>
    <t>PROYECTO DE LA SUB GERENCIA DE ACONDICIONAMIENTO TERRITORIAL</t>
  </si>
  <si>
    <t xml:space="preserve">Ordenamiento Territorial de la Región Cajamarca </t>
  </si>
  <si>
    <t>Conexiones Domiciliarias</t>
  </si>
  <si>
    <t xml:space="preserve">Liquidación </t>
  </si>
  <si>
    <t>Evaluación de Declaración de Impacto Ambiental</t>
  </si>
  <si>
    <t>PROYECTOS - GERENCIA SUB REGIONAL CHOTA</t>
  </si>
  <si>
    <t>PROYECTOS - GERENCIA SUB REGIONAL CUTERVO</t>
  </si>
  <si>
    <t>Construcción Sede Gerencia Sub Regional Chota</t>
  </si>
  <si>
    <t>Local Institucional</t>
  </si>
  <si>
    <t>PROYECTOS - GERENCIA SUB REGIONAL JAÉN</t>
  </si>
  <si>
    <t>Asignación Presupuestal que no Resultan en Producto</t>
  </si>
  <si>
    <t>PROYECTO - GERENCIA SUB REGIONAL CUTERVO</t>
  </si>
  <si>
    <t>Disponer facilidades y medidas de seguridad de los turistas - Red de Protección al Turista</t>
  </si>
  <si>
    <t>Desarrollar circuitos turísticos que puedan convertirse en ejes de desarrollo regional</t>
  </si>
  <si>
    <t xml:space="preserve">Fiscalización a establecimientos informales  dedicados al expendio de combustibles líquidos y gas licuado de petróleo para su formalización </t>
  </si>
  <si>
    <t>Capacitación y promoción para la formalización del productores mineros artesanales y pequeño productor minero.</t>
  </si>
  <si>
    <t>Elaboración del Plan Anual de Fiscalizaciones Ambiental para productores mineros artesanales y pequeño productor minero.</t>
  </si>
  <si>
    <t>Fiscalización ambiental de Productores Mineros Artesanales y Pequeño Productor Minero.</t>
  </si>
  <si>
    <t>Minería</t>
  </si>
  <si>
    <t>Fiscalización de productores mineros artesanales y pequeño productor minero.</t>
  </si>
  <si>
    <t>Evaluación de Estudios de Impacto Ambiental y Declaraciones de Impacto Ambiental de los Pequeños productores mineros y productores mineros artesanales.</t>
  </si>
  <si>
    <t>Evaluación de Instrumentos de Gestión Ambiental Correctivos de pequeños productores mineros y productores mineros artesanales.</t>
  </si>
  <si>
    <t>Admisión de petitorios mineros de productores mineros artesanales y pequeño productor minero.</t>
  </si>
  <si>
    <t>Evaluación Técnica de Petitorios mineros para Productores Mineros Artesanales y Pequeño Productor Minero.</t>
  </si>
  <si>
    <t>Evaluación técnica de certificados de operación minera para productores mineros artesanales y pequeño productor minero.</t>
  </si>
  <si>
    <t>Implementación del Plan de Acción para el POT</t>
  </si>
  <si>
    <t>Mejoramiento de la I.E. N° 82062 La Grama Distrito Eduardo Villanueva San Marcos</t>
  </si>
  <si>
    <t>San Marcos</t>
  </si>
  <si>
    <t>Ambientes</t>
  </si>
  <si>
    <t>Construccion Local Institucional Ugel San Marcos</t>
  </si>
  <si>
    <t>Celendín</t>
  </si>
  <si>
    <t>PROYECTOS - GERENCIA REGIONAL DE INFRAESTRUCTURA</t>
  </si>
  <si>
    <t>Construcción Centro Materno Infantil San Marcos</t>
  </si>
  <si>
    <t>Electrificación Sucse - Caboran - Chulangate</t>
  </si>
  <si>
    <t>Red Secundaria de Electrificación Liguñac</t>
  </si>
  <si>
    <t xml:space="preserve">Electrificación de Localidades del Distrito de Namballe        </t>
  </si>
  <si>
    <t>San Ignacio</t>
  </si>
  <si>
    <t>Electrificación Rural Cajamarca Huacariz, Agopampa, Amoshulca, Bellavista y Pariamarca</t>
  </si>
  <si>
    <t>Electrificación Rural Cajabamba II Etapa Fase II</t>
  </si>
  <si>
    <t>Acometidas domiciliarias</t>
  </si>
  <si>
    <t>Electrificación Rural Cajabamba II Etapa - Fase 1</t>
  </si>
  <si>
    <t>Electrificación Rural Cajabamba II Etapa -  Fase 3</t>
  </si>
  <si>
    <t>Electrificación Rural Aylambo</t>
  </si>
  <si>
    <t>Electrificación Rural Cajabamba</t>
  </si>
  <si>
    <t>Electrificación Rural Caseríos Casa Blanca - Cau Cau - Las Manzanas</t>
  </si>
  <si>
    <t>PROYECTOS - GERENCIA  REGIONAL DE INFRAESTRUCTURA</t>
  </si>
  <si>
    <t>Redes Primarias 22 9 Kv, Redes Secundarias 460 230v y Conexiones Domiciliarias Caseríos de Llamapampa, Alto Perú, Pueblo Nuevo, San Mateo, Baños Quilcate y El Milagro - Tramo 1</t>
  </si>
  <si>
    <t>Electrificación del Caserío Pampa Iracushco</t>
  </si>
  <si>
    <t>Construcción Trocha Carrozable Tramo Los Arenales - Choropampa</t>
  </si>
  <si>
    <t>Alcantarillas M2</t>
  </si>
  <si>
    <t>Badenes M2</t>
  </si>
  <si>
    <t>Km. Carretera Afirmada</t>
  </si>
  <si>
    <t>Construcción del Puente Chamaya III</t>
  </si>
  <si>
    <t xml:space="preserve">Estructura Reticulada </t>
  </si>
  <si>
    <t>km de mejoramiento</t>
  </si>
  <si>
    <t xml:space="preserve">Mejoramiento y Apertura de la Carretera José Gálvez - Jorge Chavez - La Ayacunga </t>
  </si>
  <si>
    <t>Km de construcción</t>
  </si>
  <si>
    <t>Metros</t>
  </si>
  <si>
    <t>Bambamarca</t>
  </si>
  <si>
    <t xml:space="preserve">Jaén </t>
  </si>
  <si>
    <t>Multidistrital</t>
  </si>
  <si>
    <t>Consultoría</t>
  </si>
  <si>
    <t>UNIDAD FORMULADORA DE DESARROLLO SOCIAL</t>
  </si>
  <si>
    <t>ACTIVIDADES DE LA SUB GERENCIA RECURSOS NATURALES Y ÁREAS PROTEGIDAS</t>
  </si>
  <si>
    <t>Actividades para la implementación del Sistema de Conservación Regional de Cajamarca</t>
  </si>
  <si>
    <t>Celendín, Chota, Cajabamba, San Marcos, Jaén, San Ignacio</t>
  </si>
  <si>
    <t>Estudio Técnico (documento)</t>
  </si>
  <si>
    <t>Reglamento</t>
  </si>
  <si>
    <t>Difusión de spot</t>
  </si>
  <si>
    <t>Actividades de Gestión Integral de los Recursos Hídricos</t>
  </si>
  <si>
    <t>Procesos de conformacion y operación  de Consejos de Recursos Hídricos</t>
  </si>
  <si>
    <t>Consejo</t>
  </si>
  <si>
    <t>Proceso de gestión de Creación de Consejos de Recursos Hídricos</t>
  </si>
  <si>
    <t>Jaén, San Ignacio</t>
  </si>
  <si>
    <t>Acciones de Implementación de la Estrategia Regional de Diversidad Biológica de Cajamarca</t>
  </si>
  <si>
    <t>Promoción del biocomercio, con las especies nativas.</t>
  </si>
  <si>
    <t>Todas</t>
  </si>
  <si>
    <t>Planes de negocio</t>
  </si>
  <si>
    <t>Jaén, Celendín, Chota, Cutervo, San Marcos, Cajabamba</t>
  </si>
  <si>
    <t>Eventos de Fortalecimiento</t>
  </si>
  <si>
    <t>Estudios para la identificación de las áreas importantes para la conservación de la agrobiodiversidad, Identificación de los conocimientos tradicionales asociados a los usos de recursos genéticos, elaboración de mecanismos de compensación por servicios ambientales.</t>
  </si>
  <si>
    <t>Sensibilización sobre la importancia de la conservación de la agrobiodiversidad.</t>
  </si>
  <si>
    <t>Mapeo de actores y áreas a nivel regional interesados en la conservación privada y otras modalidades de conservacion,  Sistematización de información existente relacionada a recursos genéticos,  Propuesta para la elaboración de mecanismos de compensación por servicios ambientales.</t>
  </si>
  <si>
    <t>Bosques y Cambio Climático</t>
  </si>
  <si>
    <t xml:space="preserve">Formulación y Aprobación del Plan de Desarrollo Forestal Regional de Cajamarca. </t>
  </si>
  <si>
    <t>Estudio de los impactos socioambientales de la minería en Cajamarca</t>
  </si>
  <si>
    <t>Evento informativo Reducción de Emisiones de Carbono causadas por la Deforestación y la Degradación de los Bosques - REDD</t>
  </si>
  <si>
    <t>Establecimiento de alianzas con SERNANP y con actores privados de bosques.</t>
  </si>
  <si>
    <t>Elaboración del plan para la realización del inventario forestal</t>
  </si>
  <si>
    <t>San Miguel y San Pablo</t>
  </si>
  <si>
    <t>ACTIVIDADES GERENCIA REGIONAL DE RECURSOS NATURALES Y GESTIÓN DEL MEDIO AMBIENTE</t>
  </si>
  <si>
    <t>Acciones administrativas.</t>
  </si>
  <si>
    <t>ACTIVIDADES DE LA SUB GERENCIA GESTIÓN DEL MEDIO AMBIENTE</t>
  </si>
  <si>
    <t>Gestión y fortalecimiento de los espacios de concertación ambiental: Comisión Ambiental Regional y Comisiones Ambientales Municipales</t>
  </si>
  <si>
    <t>Encuentro regional de las CAM's</t>
  </si>
  <si>
    <t>Curso - Taller en el SGRA e Instrumentos de Gestión Ambiental</t>
  </si>
  <si>
    <t>Curso - Taller</t>
  </si>
  <si>
    <t>Cajabamba y Hualgayoc-Bambamarca</t>
  </si>
  <si>
    <t>Monitoreo</t>
  </si>
  <si>
    <t>Control de la contaminación por ruido</t>
  </si>
  <si>
    <t>Estrategia</t>
  </si>
  <si>
    <t>Talleres de elaboración</t>
  </si>
  <si>
    <t>Talleres de difusión</t>
  </si>
  <si>
    <t>Trabajo y funcionamiento del Grupo Técnico Regional del Agua - GTRA: Diseño del Sistema de Monitoreo Participativo Regional del Agua - SMAPRE</t>
  </si>
  <si>
    <t>Sistema de monitoreo participativo del agua</t>
  </si>
  <si>
    <t>Trabajo y funcionamiento del Grupo Técnico Regional de Transporte de Materiales y residuos peligrosos. Actualización de la Guía TRANSAPELL</t>
  </si>
  <si>
    <t>Trabajo y funcionamiento del Grupo Técnico Regional de Educación Ambiental. Fortalecimiento de la educación ambiental regional.</t>
  </si>
  <si>
    <t>Congreso</t>
  </si>
  <si>
    <t>Plan/Estrategia</t>
  </si>
  <si>
    <t>Revista y Spots (Difusión)</t>
  </si>
  <si>
    <t>Creación y/o fortalecimientos de los consejos de recursos hídricos de cuenca de Jequetepeque, Crisnejas y Chicama</t>
  </si>
  <si>
    <t>Cajamarca, San Miguel, San Pablo, Contumazá; Cajamarca, San Marcos, Cajabamba;  Cajamarca, Contumazá</t>
  </si>
  <si>
    <t>Consejo de cuenca</t>
  </si>
  <si>
    <t>Reuniones de trabajo</t>
  </si>
  <si>
    <t>Cajamarca, Contumazá</t>
  </si>
  <si>
    <t>Jornadas para elaboración del Expediente técnico del CIRHC del Chicama</t>
  </si>
  <si>
    <t>Cajamarca, San Miguel, San Pablo, Contumazá,</t>
  </si>
  <si>
    <t>Reuniones de trabajo del Grupo Impulsor de la Cuenca del Río Jequetepeque</t>
  </si>
  <si>
    <t>Cajamarca, San Marcos, Cajabamba</t>
  </si>
  <si>
    <t>Reuniones de trabajo del  Grupo impulsor de la Cuenca del Río Crisnejas</t>
  </si>
  <si>
    <t>Creación del Fondo Biregional del Agua -  FOBIRAJ para la cuenca del Río Jequetepeque.</t>
  </si>
  <si>
    <t>Fondo de agua</t>
  </si>
  <si>
    <t>Curso fondo de agua</t>
  </si>
  <si>
    <t>Evento presentación</t>
  </si>
  <si>
    <t>Cajamarca, Cajabamba</t>
  </si>
  <si>
    <t>Monitoreo de calidad de agua (Chancay Lambayeque, Jequetepeque, Crisnejas, Marañón, Mashcón, Laucano)</t>
  </si>
  <si>
    <t>Inventario fuentes móviles (reuniones)</t>
  </si>
  <si>
    <t>Monitoreo de calidad de suelo</t>
  </si>
  <si>
    <t>Inventario de recursos hídricos</t>
  </si>
  <si>
    <t>Monitoreo de la gestión de residuos sólidos en Cajamarca</t>
  </si>
  <si>
    <t>Actualización de los instrumentos de gestión ambiental</t>
  </si>
  <si>
    <t>Instrumento (Agenda Ambiental)</t>
  </si>
  <si>
    <t>Promover la educación, cultura y ciudadanía ambiental a través de la celebración del calendario ambiental</t>
  </si>
  <si>
    <t>Evento ambientales</t>
  </si>
  <si>
    <t>Promoción de la ecoeficiencia</t>
  </si>
  <si>
    <t>Gestión de Conflictos Socio Ambientales</t>
  </si>
  <si>
    <t>Comité Regional de Gestión de Conflictos sociales</t>
  </si>
  <si>
    <t>Atención de Denuncias</t>
  </si>
  <si>
    <t>Fortalecimiento de la Certificación Ambiental</t>
  </si>
  <si>
    <t>Revisión de EIA</t>
  </si>
  <si>
    <t xml:space="preserve">Oficina </t>
  </si>
  <si>
    <t>Generación y atención de aspecto técnico legal ambiental</t>
  </si>
  <si>
    <t>Normas ambientales</t>
  </si>
  <si>
    <t>Generación, difusión y atención (solicitud) de Información y cartografía Ambiental</t>
  </si>
  <si>
    <t>Mapas temáticos ambientales</t>
  </si>
  <si>
    <t>Laboratorio cartográfico</t>
  </si>
  <si>
    <t>Solicitud/atenciones</t>
  </si>
  <si>
    <t>Fortalecimiento del Sistema de Información Ambiental Regional  - SIAR</t>
  </si>
  <si>
    <t>Reunión capacitación</t>
  </si>
  <si>
    <t>Boletín de indicadores ambientales</t>
  </si>
  <si>
    <t>Seguimiento a equipamiento del proyecto Fortalecimiento de la Gestión Ambiental Regional - PFGAR</t>
  </si>
  <si>
    <t>1.2.4</t>
  </si>
  <si>
    <t>GERENCIA REGIONAL DE RECURSOS NATURALES Y GESTIÓN DEL MEDIO AMBIENTE</t>
  </si>
  <si>
    <t>Trabajo y funcionamiento del Grupo Técnico Regional de Cambio Climático y Gestión de Riesgos: elaboración, aprobación y difusión de la estrategia Regional frente al Cambio Climático de Cajamarca - ERCC.</t>
  </si>
  <si>
    <t>Trabajo y funcionamiento del Grupo Técnico de Comunicación Ambiental. Elaborar Sistema/Estrategia de Comunicación y Difusión Ambiental Regional y  difusión de las actividades de gestión ambiental.</t>
  </si>
  <si>
    <t>Comisión Técnica Ad Hoc</t>
  </si>
  <si>
    <t>Capacitación en gestión de recursos hídricos como parte del fortalecimiento de las mesas de trabajo de Hualgayoc, Chuquibamba, entre otras.</t>
  </si>
  <si>
    <t>Vigilancia y monitoreo de la calidad ambiental</t>
  </si>
  <si>
    <t>Cajamarca, Hualgayoc-Bambamarca</t>
  </si>
  <si>
    <t>UNIDAD FORMULADORA DE DESARROLLO ECONÓMICO</t>
  </si>
  <si>
    <t>UNIDAD FORMULADORA DE RECURSOS NATURALES Y GESTIÓN DEL MEDIO AMBIENTE</t>
  </si>
  <si>
    <t>Ampliación de la Electrificación Rural en las Localidades del Distrito Las Pirias Provincia de Jaén-Cajamarca</t>
  </si>
  <si>
    <t>Instalación del Sistema Eléctrico Rural III Etapa Tramo El Mirador-Villasana, Distrito de Colasay-Jaén-Cajamarca</t>
  </si>
  <si>
    <t>Instalación de Líneas y Redes Primarias, Redes Secundarias, Conexiones Domiciliarias  y Alumbrado Público de los Sectores de Chirinos-Distrito de Chirinos- San Ignacio-Cajamarca</t>
  </si>
  <si>
    <t>Instalación del Servicio de Energía Eléctrica en San Martin Valillo. Distrito de Jaén, Provincia de Jaén-Cajamarca</t>
  </si>
  <si>
    <t>Ampliación de la Electrificación Rural en los Centros Poblados del Distrito de San José del Alto Provincia de Jaén-Cajamarca</t>
  </si>
  <si>
    <t>Santa Cruz</t>
  </si>
  <si>
    <t>Km Red Primaria</t>
  </si>
  <si>
    <t>Km Red Secundaria</t>
  </si>
  <si>
    <t>Nro. Conexiones</t>
  </si>
  <si>
    <t>PROYECTOS - PROREGION</t>
  </si>
  <si>
    <t>Mejoramiento y Ampliación de los Sistemas de Agua Potable, Alcantarillado y Tratamiento de Aguas Residuales de la ciudad de Bambamarca</t>
  </si>
  <si>
    <t>Km Líneas de Conducción</t>
  </si>
  <si>
    <t>Km Redes de Agua Potable</t>
  </si>
  <si>
    <t>Conexiones Domiciliarias AP</t>
  </si>
  <si>
    <t>PTAR</t>
  </si>
  <si>
    <t>Km Redes de Alcantarillado</t>
  </si>
  <si>
    <t>Km Emisor</t>
  </si>
  <si>
    <t>Conexiones Domiciliarias Alc</t>
  </si>
  <si>
    <t>Mejoramiento y Ampliación de los Sistemas de Agua Potable, Alcantarillado y Tratamiento de Aguas Residuales de la ciudad de Hualgayoc</t>
  </si>
  <si>
    <t>Mejoramiento y Ampliación de los Sistemas de Agua Potable, Alcantarillado y Tratamiento de Aguas Residuales de la ciudad de Chota</t>
  </si>
  <si>
    <t>Mejoramiento y Ampliación de los Sistemas de Agua Potable, Alcantarillado y Tratamiento de Aguas Residuales de la ciudad de Cutervo</t>
  </si>
  <si>
    <t>Mejoramiento y Ampliación de los Sistemas de Agua Potable, Alcantarillado y Tratamiento de Aguas Residuales de la ciudad de Jaén</t>
  </si>
  <si>
    <t>Mejoramiento y Ampliación de los Sistemas de Agua Potable y Alcantarillado de la Ciudad de Cajabamba</t>
  </si>
  <si>
    <t>Mejoramiento y Ampliación de los Sistemas de Agua Potable y Alcantarillado de la Ciudad de Celendín</t>
  </si>
  <si>
    <t>Mejoramiento y Ampliación de los Sistemas de Agua Potable y Alcantarillado de la Ciudad de Contumazá</t>
  </si>
  <si>
    <t>Mejoramiento y Ampliación de los Sistemas de Agua Potable y Alcantarillado de la Ciudad de San Marcos</t>
  </si>
  <si>
    <t>Mejoramiento y Ampliación de los Sistemas de Agua Potable y Alcantarillado de la Ciudad de San Miguel</t>
  </si>
  <si>
    <t>Mejoramiento y Ampliación de los Sistemas de Agua Potable y Alcantarillado de la Ciudad de San Pablo</t>
  </si>
  <si>
    <t>ACTIVIDADES DE LA GERENCIA REGIONAL DE DESARROLLO ECONÓMICO</t>
  </si>
  <si>
    <t>ACTIVIDADES GERENCIA REGIONAL DE DESARROLLO ECONÓMICO</t>
  </si>
  <si>
    <t>Servicios de articulación empresarial y acceso a mercados (Ferias)</t>
  </si>
  <si>
    <t xml:space="preserve">Gestión de proyectos y actividades </t>
  </si>
  <si>
    <t>Promoción de la  Asociatividad,  Gestión Comercial y Fortalecimiento Institucional de las organizaciones de productores y pymes.</t>
  </si>
  <si>
    <t>Organizaciones de Productores</t>
  </si>
  <si>
    <t>Seguimiento y Monitoreo de proyectos en ejecución</t>
  </si>
  <si>
    <t xml:space="preserve">Proyectos </t>
  </si>
  <si>
    <t xml:space="preserve">Desarrollo de capacidades, asociatividad y fomento de la inversión público privada, para la competitividad y el desarrollo económico rural sostenible.  </t>
  </si>
  <si>
    <t>ACTIVIDADES DE LA SUB GERENCIA DE PROMOCIÓN DE LA INVERSIÓN PRIVADA</t>
  </si>
  <si>
    <t>Monitoreo y seguimiento de proyectos y actividades de la SGPIP</t>
  </si>
  <si>
    <t>ACTIVIDADES DE LA SUB GERENCIA DE PROMOCIÓN EMPRESARIAL</t>
  </si>
  <si>
    <t>Formular, proponer, ejecutar, coordinar y controlar las políticas y planes en materia de promoción empresarial en el ámbito Regional.</t>
  </si>
  <si>
    <t>Impulsar el fortalecimiento del sector empresarial con énfasis en la micro y pequeña empresa y organizaciones de productores, mediante el fortalecimiento de capacidades con enfoque territorial. - asociatividad</t>
  </si>
  <si>
    <t>Fortalecimiento de espacios de concertación para la promoción y desarrollo empresarial.</t>
  </si>
  <si>
    <t xml:space="preserve">Reuniones </t>
  </si>
  <si>
    <t>Elaboración de Estudios de mercado para cadenas productivas priorizadas (palta, leche y derivados lacteos, café y acuicultura)</t>
  </si>
  <si>
    <t>Apoyo a la competitividad productiva: PROCOMPITE</t>
  </si>
  <si>
    <t>Plan de Negocio</t>
  </si>
  <si>
    <t>Proponer la suscripción de convenios interinstitucionales en aspectos de fortalecimiento y desarrollo empresarial.</t>
  </si>
  <si>
    <t>Promoción y difusión de la Ciencia, Tecnología e Innovación - CTI: Semana de Ciencia, Tecnología e Innovación - CTI en la Región Cajamarca</t>
  </si>
  <si>
    <t xml:space="preserve">Financiamiento a proyectos de investigación e innovación tecnológica en cadenas productivas priorizadas </t>
  </si>
  <si>
    <t>Proyecto de Investigación</t>
  </si>
  <si>
    <t>Visitas de Seguimiento</t>
  </si>
  <si>
    <t>Proyectos y Actividades Gestionados</t>
  </si>
  <si>
    <t>Construcción y Equipamiento de la I.E. N° 82696, La Hualanga - Bambamarca.</t>
  </si>
  <si>
    <t>Construccion de I.E. N° 82320 Cauday Cajabamba</t>
  </si>
  <si>
    <t>Mejoramiento de las Condiciones de Servicio educativo en el I.E. IGECOM de nivel Secundario Sagrado Corazón del C.P. lagunas Pedregal, Distrito de Huasmín -Celendín Cajamarca</t>
  </si>
  <si>
    <t>Mejoramiento de la Institución Educativa N° 82467 Francisco Delgado Guerrero del Caserío Namo Distrito de Huasmín, Celendín.</t>
  </si>
  <si>
    <t>Recuperación del Servicio Ambiental Hídrico del Área de Amortiguamiento del Bosque de Protección Pagaibamba, distrito de Querocoto, provincia de Chota, región de Cajamarca</t>
  </si>
  <si>
    <t>Instalación del Sistema Eléctrico Rural Celendín Fases II.</t>
  </si>
  <si>
    <t>Instalación del Sistema Eléctrico Rural San Ignacio - Región Cajamarca.</t>
  </si>
  <si>
    <t xml:space="preserve">Instalación del Sistema Eléctrico Rural San José De Lourdes - Región Cajamarca </t>
  </si>
  <si>
    <t xml:space="preserve">Instalación Del Sistema Eléctrico Rural Huarango, Chirinos - La Coipa - Región Cajamarca </t>
  </si>
  <si>
    <t>Instalación del Sistema Eléctrico Rural Pomahuaca - Bellavista - San Ignacio</t>
  </si>
  <si>
    <t>Instalación Sistema Eléctrico Rural Celendín Fase I</t>
  </si>
  <si>
    <t>Instalación del Sistema Eléctrico Rural Localidades El Milagro, Cochapamba, Huañimbita, La Arenilla, Provincia de Cajabamba – Región Cajamarca.</t>
  </si>
  <si>
    <t>EXPEDIENTES TÉCNICOS EN FORMULACIÓN - PRO REGIÓN</t>
  </si>
  <si>
    <t>Instalación y mejoramiento del sistema de alcantarillado de las zonas periféricas de la ciudad de Cajabamba-Distrito y Provincia de Cajabamba.</t>
  </si>
  <si>
    <t>Electrificación rural del distrito de Gregorio Pita II etapa</t>
  </si>
  <si>
    <t>EXPEDIENTES TÉCNICOS EN FORMULACIÓN</t>
  </si>
  <si>
    <t>Hualgayoc
Chota</t>
  </si>
  <si>
    <t>Mejoramiento del Servicio de Acceso sobre el Río Silaco en la Trocha Carrozable La Ramada- Chimba, distrito de Chimbán, Chota- Cajamarca</t>
  </si>
  <si>
    <t>Cutervo
Chota</t>
  </si>
  <si>
    <t xml:space="preserve"> Construcción carretera Cortegana - San Antonio - El Calvario - Tres Cruces - Canden, Distrito de Cortegana, Provincia de Celendín - Cajamarca</t>
  </si>
  <si>
    <t>Construcción y Mejoramiento Canal Santa Ana, Distrito Sitacocha, Cajabamba, Cajamarca</t>
  </si>
  <si>
    <t>Km. de canal revestido</t>
  </si>
  <si>
    <t>Instalación del sistema de riego tecnificado en los caseríos de Tablón, y Juan Velasco Alvarado, distrito de Chirinos - San Ignacio - Cajamarca.</t>
  </si>
  <si>
    <t>Local de la Comisión de Regantes</t>
  </si>
  <si>
    <t>Construcción de bocatoma</t>
  </si>
  <si>
    <t>Hectáreas Incorporadas</t>
  </si>
  <si>
    <t xml:space="preserve">Construcción de reservorios </t>
  </si>
  <si>
    <t>Construcción y equipamiento del Hospital Santa María nivel II-1, Provincia Cutervo Departameno Cajamarca</t>
  </si>
  <si>
    <t>GERENCIA REGIONAL DE CUTERVO</t>
  </si>
  <si>
    <t>Reposición Infraestructura IEPS  Nº 16006 Cristo Rey Fila Alta</t>
  </si>
  <si>
    <t>Construcción de pase aéreo</t>
  </si>
  <si>
    <t>Instalación de compuertas</t>
  </si>
  <si>
    <t>Km. línea de conducción</t>
  </si>
  <si>
    <t>km. Línea de distribución</t>
  </si>
  <si>
    <t>EXPEDIENTES TÉCNICOS EN ELABORACIÓN</t>
  </si>
  <si>
    <t>GESTIÓN DE PLANES DE NEGOCIOS</t>
  </si>
  <si>
    <t>Ejecución de Plan</t>
  </si>
  <si>
    <t>PROYECTO</t>
  </si>
  <si>
    <t>Electrificación Rural El Guayo - Contumazá</t>
  </si>
  <si>
    <t>Institución Educativa Atendida</t>
  </si>
  <si>
    <t>Hospital</t>
  </si>
  <si>
    <t>Puesta en Marcha /Liquidación</t>
  </si>
  <si>
    <t>Obras Complementarias/
Liquidación</t>
  </si>
  <si>
    <t>Puesta en Marcha/
Liquidación</t>
  </si>
  <si>
    <t>Apertura de la Carretera Tramo Alimarca-Canlle-Chiquinda-Ulluypampa-Las Pajas, Distrito de Gregorio Pita - San Marcos</t>
  </si>
  <si>
    <t>Sistema de riego</t>
  </si>
  <si>
    <t>Mejoramiento del Camino Vecinal Puente Techin-Cruce Chirimoyo, Distrito de Querocotillo - Cutervo - Cajamarca</t>
  </si>
  <si>
    <t>Km.</t>
  </si>
  <si>
    <t>Sistema Eléctrico</t>
  </si>
  <si>
    <t>Liquidación/
Pago Pendiente</t>
  </si>
  <si>
    <t>Liquidación/Pago de Contratista</t>
  </si>
  <si>
    <t>Acabados/
Liquidación</t>
  </si>
  <si>
    <t>PROYECTOS</t>
  </si>
  <si>
    <t xml:space="preserve">Reforestación en las zonas alto andinas de las provincias de San Miguel y San Pablo </t>
  </si>
  <si>
    <t>Mejoramiento de la Gestión Institucional del recurso hídrico y el ambiente en las cuencas de las provincias de Cajamarca, San Pablo, San Marcos</t>
  </si>
  <si>
    <t>Mantenimiento y operatividad del Laboratorio Regional del Agua del distrito de Cajamarca</t>
  </si>
  <si>
    <r>
      <rPr>
        <b/>
        <sz val="10"/>
        <color theme="1"/>
        <rFont val="Calibri"/>
        <family val="2"/>
        <scheme val="minor"/>
      </rPr>
      <t xml:space="preserve">OBJETIVO ESTRATÉGICO ESPECÍFICO   :  </t>
    </r>
    <r>
      <rPr>
        <sz val="10"/>
        <color theme="1"/>
        <rFont val="Calibri"/>
        <family val="2"/>
        <scheme val="minor"/>
      </rPr>
      <t>4.4. Promover la formulación de estudios de pre inversión con programas y proyectos de impacto regional, así como gestionar su financiamiento</t>
    </r>
  </si>
  <si>
    <r>
      <rPr>
        <b/>
        <sz val="10"/>
        <color theme="1"/>
        <rFont val="Calibri"/>
        <family val="2"/>
        <scheme val="minor"/>
      </rPr>
      <t xml:space="preserve">OBJETIVO ESTRATÉGICO ESPECÍFICO  :  </t>
    </r>
    <r>
      <rPr>
        <sz val="10"/>
        <color theme="1"/>
        <rFont val="Calibri"/>
        <family val="2"/>
        <scheme val="minor"/>
      </rPr>
      <t>3.1. Mejorar y gestionar la calidad ambiental, así como promover la adaptación al cambio climático, la gestión del riesgo de desastres y la reducción de la desertificación.</t>
    </r>
  </si>
  <si>
    <r>
      <rPr>
        <b/>
        <sz val="10"/>
        <color theme="1"/>
        <rFont val="Calibri"/>
        <family val="2"/>
        <scheme val="minor"/>
      </rPr>
      <t xml:space="preserve">OBJETIVO ESTRATÉGICO ESPECÍFICO   :  </t>
    </r>
    <r>
      <rPr>
        <sz val="10"/>
        <color theme="1"/>
        <rFont val="Calibri"/>
        <family val="2"/>
        <scheme val="minor"/>
      </rPr>
      <t>3.2. Promover la gestión sostenible del agua, los suelos, la biodiversidad y los ecosistemas vulnerables.</t>
    </r>
  </si>
  <si>
    <r>
      <rPr>
        <b/>
        <sz val="10"/>
        <color theme="1"/>
        <rFont val="Calibri"/>
        <family val="2"/>
        <scheme val="minor"/>
      </rPr>
      <t xml:space="preserve">OBJETIVO ESTRATÉGICO ESPECÍFICO   :  </t>
    </r>
    <r>
      <rPr>
        <sz val="10"/>
        <color theme="1"/>
        <rFont val="Calibri"/>
        <family val="2"/>
        <scheme val="minor"/>
      </rPr>
      <t>3.3. Impulsar procesos de planificación y gestión territorial con base en la ZEE y el Plan de Ordenamiento Territorial (POT) departamental.</t>
    </r>
  </si>
  <si>
    <t>EJECUCIÓN  POR OBJETIVO ESTRATÉGICO ESPECÍFICO A NIVEL DE UNIDAD EJECUTORA Y UNIDAD ORGÁNICA 2014</t>
  </si>
  <si>
    <t>(POR TODA FUENTE)</t>
  </si>
  <si>
    <t>OBJETIVO ESTRATÉGICO ESPECÍFICO</t>
  </si>
  <si>
    <t>UNIDAD EJECUTORA / UNIDAD ORGÁNICA/PROYECTO</t>
  </si>
  <si>
    <t>PIM</t>
  </si>
  <si>
    <t>EJECUCIÓN</t>
  </si>
  <si>
    <t>%  DE EJECUCIÓN AL PRIMER SEMESTRE
EN RELACIÓN AL PIM</t>
  </si>
  <si>
    <t>PARTICIPACIÓN % DE LA EJECUCIÓN</t>
  </si>
  <si>
    <t>TOTAL O.E.E</t>
  </si>
  <si>
    <t>1.1. Población del departamento de Cajamarca accede a educación de calidad y adquieren competencias para una gestión integral del territorio.</t>
  </si>
  <si>
    <t>Sub Gerencia de  Desarrollo Social y Humano</t>
  </si>
  <si>
    <t>Gerencia Sub Regional Cutervo</t>
  </si>
  <si>
    <t>Gerencia Sub Regional Chota</t>
  </si>
  <si>
    <t>Gerencia Sub Regional Jaén</t>
  </si>
  <si>
    <t>1.2. Población del departamento de Cajamarca, principalmente pobre y vulnerable, accede a servicios integrales de salud de calidad, con enfoque preventivo promocional.</t>
  </si>
  <si>
    <t>Sub Gerencia de Asuntos Poblacionales</t>
  </si>
  <si>
    <t>Programas Regionales -PROREGION</t>
  </si>
  <si>
    <t>1.3. Promover la construcción y mejoramiento de la infraestructura de agua y saneamiento en zonas urbanas y rurales; así como propiciar el acceso a una vivienda digna.</t>
  </si>
  <si>
    <t>1.4. Fortalecer la inclusión social, priorizando al menor y adolescente en situación de abandono y a las personas con discapacidad y promoviendo la igualdad de oportunidades en el departamento de Cajamarca.</t>
  </si>
  <si>
    <t>1.5. Mejorar el acceso de la población del departamento de Cajamarca a empleos dignos.</t>
  </si>
  <si>
    <t>2.1. Fomentar la asociatividad con enfoque de mercado y gestión empresarial, promoviendo las cadenas productivas, la investigación y la innovación tecnológica.</t>
  </si>
  <si>
    <t>Gerencia Desarrollo Económico</t>
  </si>
  <si>
    <t xml:space="preserve">Gerencia Sub Regional Cutervo </t>
  </si>
  <si>
    <t xml:space="preserve">Gerencia Sub Regional Jaén </t>
  </si>
  <si>
    <t>2.2. Promover el desarrollo turístico, artesanal y exportador del departamento de Cajamarca.</t>
  </si>
  <si>
    <t>Gerencia de Desarrollo Económico</t>
  </si>
  <si>
    <t>2.3. Contribuir a mejorar la infraestructura vial y de telecomunicaciones, para dinamizar la economía y acceso a los servicios básicos.</t>
  </si>
  <si>
    <t>2.4. Ampliar y mejorar la infraestructura energética, priorizando la electrificación rural para generar valor agregado en la producción local.</t>
  </si>
  <si>
    <t>2.5. Promover la construcción y mejoramiento de la infraestructura de riego para optimizar el uso del agua, ampliando la frontera agrícola e incrementando la productividad.</t>
  </si>
  <si>
    <t>Programas Regionales</t>
  </si>
  <si>
    <t>3.1. Mejorar y gestionar la calidad ambiental; así como promover la adaptación al cambio climático, la gestión del riesgo de desastres y la reducción de la desertificación.</t>
  </si>
  <si>
    <t>Gerencia Regional de Recursos Naturales y Gestión de Medio Ambiente</t>
  </si>
  <si>
    <t>3.2. Promover la gestión sostenible del agua, los suelos, la biodiversidad y los ecosistemas vulnerables.</t>
  </si>
  <si>
    <t>3.3. Impulsar procesos de planificación y gestión territorial con base en la ZEE y el Plan de Ordenamiento Territorial (POT) departamental.</t>
  </si>
  <si>
    <t>4.1. Gobierno Regional de Cajamarca al servicio del ciudadano.</t>
  </si>
  <si>
    <t>Gerencia General</t>
  </si>
  <si>
    <t>Secretaría Consejo Regional</t>
  </si>
  <si>
    <t>Procuraduría Pública Regional</t>
  </si>
  <si>
    <t>Dirección Regional de Asesoría Jurídica</t>
  </si>
  <si>
    <t>Dirección de Administración</t>
  </si>
  <si>
    <t>Dirección de Desarrollo Económico</t>
  </si>
  <si>
    <t>Gerencia de Desarrollo Social</t>
  </si>
  <si>
    <t xml:space="preserve">Gerencia Regional de Infraestructura </t>
  </si>
  <si>
    <t>4.2. Gestión Pública concertadora, participativa y transparente con actores del entorno interno y externo</t>
  </si>
  <si>
    <t>Dirección de Comunicación y RPP</t>
  </si>
  <si>
    <t>4.3.Mejorar y ampliar la participación de la ciudadanía en la gestión del riesgo de desastres departamental.</t>
  </si>
  <si>
    <t>Dirección Regional de Defensa Nacional</t>
  </si>
  <si>
    <t>4.4. Elaborar y gestionar la Preinversión en programas y proyectos de impacto Regional.</t>
  </si>
  <si>
    <t xml:space="preserve">Unidad Formuladora de la Gerencia Sub Regional de Chota </t>
  </si>
  <si>
    <t>Unidad Formuladora de la Gerencia Sub Regional de Cuervo</t>
  </si>
  <si>
    <t>Unidad Formuladora de la Gerencia Sub Regional de Jaén</t>
  </si>
  <si>
    <t>Unidad Formuladora de PROREGION</t>
  </si>
  <si>
    <t xml:space="preserve">TOTAL </t>
  </si>
  <si>
    <t>Sub Gerencia de Desarrollo Social y Humano-Proyecto Mejora de la Calidad Educativa</t>
  </si>
  <si>
    <t>Sub Gerencia de Desarrollo Social y Humano -DesarrolloProyecto Logros de Aprendizaje</t>
  </si>
  <si>
    <t>Desarrollo Social- Dirección de Archivo Regional</t>
  </si>
  <si>
    <t>Gerencia de Infraestructura -Sub Gerencia de Operaciones</t>
  </si>
  <si>
    <t>Gerencia de Desarrollo Social-DRE -Unidad de Gestión Educativa Local San Miguel</t>
  </si>
  <si>
    <t>Gerencia De Infraestructura -Sub Gerencia de Supervisión y Liquidaciones</t>
  </si>
  <si>
    <t>Gerencia de Desarrollo Social-DRE -Unidad de Gestión Educativa Local Chota</t>
  </si>
  <si>
    <t>Gerencia de Desarrollo Social-DRE-Unidad de Gestión Educativa Local Contumazá</t>
  </si>
  <si>
    <t>Gerencia de Desarrollo Social-DRE -Unidad de Gestión Educativa Local San Pablo</t>
  </si>
  <si>
    <t>Gerencia de Desarrollo Social-DRE -Dirección Regional de Educación Cajamarca</t>
  </si>
  <si>
    <t>Gerencia de Desarrollo Social-DRE -Unidad de Gestión Educativa Local San Marcos</t>
  </si>
  <si>
    <t>Gerencia de Desarrollo Social-DRE -Unidad de Gestión Educativa Local Cajamarca</t>
  </si>
  <si>
    <t>Gerencia de Desarrollo Social-DRE -Unidad de Gestión Educativa Local Celendín</t>
  </si>
  <si>
    <t>Gerencia de Desarrollo Social-DRE -Unidad de Gestión Educativa Local Bambamarca</t>
  </si>
  <si>
    <t>Gerencia de Desarrollo Social-DRE -Unidad de Gestión Educativa Local Cajabamba</t>
  </si>
  <si>
    <t>Gerencia de Desarrollo Social-DRE -Unidad de Gestión Educativa Local Santa Cruz</t>
  </si>
  <si>
    <t>Gerencia de Desarrollo Social-DRE -Unidad de Gestión Educativa Local San Ignacio</t>
  </si>
  <si>
    <t>Gerencia de Desarrollo Social-DRE -Unidad de Gestión Educativa Local Jaén</t>
  </si>
  <si>
    <t>Gerencia de Desarrollo Social-DRE -Unidad de Gestión Educativa Local Cutervo</t>
  </si>
  <si>
    <t>Gerencia de Desarrollo Social -Dirección Regional de Salud Cajamarca</t>
  </si>
  <si>
    <t>Gerencia de Desarrollo Social -Dirección Regional de Salud Cajamarca -Dirección Regional de Salud Chota</t>
  </si>
  <si>
    <t>Gerencia de Desarrollo Social -Dirección Regional de Salud Cajamarca -Dirección Regional de Salud Cutervo</t>
  </si>
  <si>
    <t>Gerencia de Desarrollo Social -Dirección Regional de Salud Cajamarca -Dirección Regional de Salud Jaén</t>
  </si>
  <si>
    <t>Gerencia de Desarrollo Social -Dirección Regional de Salud Cajamarca -Hospital Regional de Cajamarca</t>
  </si>
  <si>
    <t>Gerencia de Desarrollo Social -Dirección Regional de Salud Cajamarca -Hospital General de Jaén</t>
  </si>
  <si>
    <t>Gerencia de Desarrollo Social -Dirección Regional de Salud Cajamarca -Hospital Soto Cadenilas</t>
  </si>
  <si>
    <t>Gerencia de Desarrollo SocialDirección de Vivienda y Saneamiento</t>
  </si>
  <si>
    <t>Gerencia de Desarrollo Social -Sub Gerencia de  Desarrollo Social y Humano-Oredis</t>
  </si>
  <si>
    <t>Gerencia de Desarrollo Social -Aldea Infantil "San Antonio"</t>
  </si>
  <si>
    <t>Gerencia de Desarrollo Social -Dirección Regional de Trabajo y Promoción del Empleo</t>
  </si>
  <si>
    <t>Gerencia de Desarrollo Económico -
Sub Gerencia de Promoción  Empresarial</t>
  </si>
  <si>
    <t>Gerencia de Desarrollo Económico -Dirección Regional de la Producción</t>
  </si>
  <si>
    <t>Gerencia de Desarrollo Económico-Dirección Regional de Agricultura</t>
  </si>
  <si>
    <t>Gerencia de Desarrollo Económico -Dirección Regional de Comercio Exterior y Turismo</t>
  </si>
  <si>
    <t>Gerencia de Infraestructura -Dirección Regional de Transportes y Comunicaciones</t>
  </si>
  <si>
    <t>Gerencia de Desarrollo Económico -Sub Gerencia de Promoción a la Inversión Privada</t>
  </si>
  <si>
    <t>Gerencia de Desarrollo Económico -Dirección Regional de Agricultura</t>
  </si>
  <si>
    <t>Gerencia de Desarrollo Económico -Sub Gerencia de Operaciones</t>
  </si>
  <si>
    <t>Gerencia de Desarrollo Económico -Dirección Regional de Energía y Minas</t>
  </si>
  <si>
    <t>Gerencia Regional de Recursos Naturales -Sub Gerencia de Recursos  Naturales y Áreas Naturales Protegidas</t>
  </si>
  <si>
    <t>GRPPAT-Sub Gerencia de Acondicionamiento Territorial</t>
  </si>
  <si>
    <t>Asesores -Presidencia</t>
  </si>
  <si>
    <t>Asesores -Vice Presidencia</t>
  </si>
  <si>
    <t>Asesores -Asesoramiento de Alta Dirección</t>
  </si>
  <si>
    <t>Gerencia General -Secretaría General</t>
  </si>
  <si>
    <t>Gerencia General -Oficina de Enlace</t>
  </si>
  <si>
    <t>Dirección de Administración -Dirección de Personal</t>
  </si>
  <si>
    <t>Dirección de Administración -Dirección de Patrimonio</t>
  </si>
  <si>
    <t>Dirección de Administración -Dirección de Tesorería</t>
  </si>
  <si>
    <t>Dirección de Administración -Dirección de Contabilidad</t>
  </si>
  <si>
    <t>Dirección de Administración -Control Previo</t>
  </si>
  <si>
    <t>Dirección de Administración -Dirección de Abastecimientos</t>
  </si>
  <si>
    <t>GRPPAT -Sub Gerencia de Desarrollo Institucional</t>
  </si>
  <si>
    <t>GRPPAT-Sub Gerencia de Programación e Inversión pública</t>
  </si>
  <si>
    <t>GRPPAT- Sub Gerencia de Presupuesto y Tributación</t>
  </si>
  <si>
    <t>Desarrollo Económico -Dirección Regional de Agricultura</t>
  </si>
  <si>
    <t>GRPPAT -Dirección Regional de Control Institucional</t>
  </si>
  <si>
    <t>GRPPAT -Sub Gerencia de Planeamiento y CTI</t>
  </si>
  <si>
    <t>GRPPAT -Centro de Informática y Sistemas</t>
  </si>
  <si>
    <t>Desarrollo Económico -Unidad Formuladora Gerencia de Desarrollo Económico-</t>
  </si>
  <si>
    <t>Desarrollo Social -Unidad Formuladora Gerencia de Desarrollo Social</t>
  </si>
  <si>
    <t>Gerencia de Infraestructura -Unidad Formuladora Gerencia Regional de Infraestructura</t>
  </si>
  <si>
    <t xml:space="preserve">Gerencia de Recursos Naturales y Gestión del Medio Ambiente -Unidad Formuladora de Recursos Naturales y Gestión del Medio Ambiente </t>
  </si>
  <si>
    <t>Desarrollo Económico -Unidad Formuladora de la Dirección Regional de Agricultura</t>
  </si>
  <si>
    <t>EXPEDIENTES TÉCNICOS EN FORMULACIÓN CHOTA</t>
  </si>
  <si>
    <t>EXPEDIENTES TÉCNICOS EN FORMULACIÓN  CUTERVO</t>
  </si>
  <si>
    <t>EXPEDIENTES TÉCNICOS EN FORMULACIÓN JAÉN</t>
  </si>
  <si>
    <t>Construcción e Implementación del Hospital II-1 de San Ignacio</t>
  </si>
  <si>
    <t>EXPEDIENTES TÉCNICOS EN FORMULACIÓN -INFRAESTRUCTURA</t>
  </si>
  <si>
    <t>Consejo de Coordinación Regional - CCR 2013-2014</t>
  </si>
  <si>
    <t>1.1</t>
  </si>
  <si>
    <t>Sesiones</t>
  </si>
  <si>
    <t>1.2</t>
  </si>
  <si>
    <t>Fortalecimiento de capacidades del CCR 2013-2014</t>
  </si>
  <si>
    <t>Asistencia como secretaría Técnica del Consejo de Coordinación Regional</t>
  </si>
  <si>
    <t>2.</t>
  </si>
  <si>
    <t>Comité Regional de Inversiones CRI</t>
  </si>
  <si>
    <t>Memoria Institucional 2013 GRC</t>
  </si>
  <si>
    <t>2.1</t>
  </si>
  <si>
    <t>2.2</t>
  </si>
  <si>
    <t>3</t>
  </si>
  <si>
    <t>3.1</t>
  </si>
  <si>
    <t>10</t>
  </si>
  <si>
    <t>12.1</t>
  </si>
  <si>
    <t>12.2</t>
  </si>
  <si>
    <t>13.1</t>
  </si>
  <si>
    <t>14</t>
  </si>
  <si>
    <t>14.1</t>
  </si>
  <si>
    <t>15</t>
  </si>
  <si>
    <t>15.3</t>
  </si>
  <si>
    <t>15.4</t>
  </si>
  <si>
    <t>16</t>
  </si>
  <si>
    <t>GERENCIA REGIONAL DE PLANEAMIENTO, PRESUPUESTO Y ACONDICIONAMIENTO TERRITORIAL</t>
  </si>
  <si>
    <t>% AVANCE</t>
  </si>
  <si>
    <t>EVALUACIÓN FÍSICA</t>
  </si>
  <si>
    <t>EVALUACIÓN FINANCIERA (S/.)</t>
  </si>
  <si>
    <t xml:space="preserve">Informes </t>
  </si>
  <si>
    <t>Servicio Social al Albergado y familia del albergado (evaluación de problemática, desarrollo de actividades)</t>
  </si>
  <si>
    <t>Estudios de pre inversión</t>
  </si>
  <si>
    <t>Mejoramiento de los servicios de educación inicial escolarizada en las localidades de Chorobamba, Pingo, Moyán Alto, Sarín, Santa Rosa de Crisnejas, Santa Rosa de Jocos y Jocos, Provincia de Cajabamba, Región Cajabamba</t>
  </si>
  <si>
    <t xml:space="preserve">Institución Educativa </t>
  </si>
  <si>
    <t>UNIDAD FORMULADORA GERENCIA SUB REGIONAL CHOTA</t>
  </si>
  <si>
    <t>Construcción y equipamiento de la Institución Educativa N° 10985 - Machaypungo Alto - Bambamarca.</t>
  </si>
  <si>
    <t>UNIDAD FORMULADORA GERENCIA SUB REGIONAL CUTERVO</t>
  </si>
  <si>
    <t xml:space="preserve">Promoción Turístico de Fiestas Patronales Distritales </t>
  </si>
  <si>
    <t>Mejoramiento de la cadena productiva del ganado vacuno criollo y criollo mestizo en el distrito de la Ramada - Cutervo - Cajamarca.</t>
  </si>
  <si>
    <t>Instalación de centro
genético informático e investigación</t>
  </si>
  <si>
    <t>Postas de 
inseminación</t>
  </si>
  <si>
    <t>Talleres de 
capacitación</t>
  </si>
  <si>
    <t>Instalación de la electrificación rural  de las localidades de San Juan de Chiple, Nuevo Cavico, Nuevo Recodo y Cuyca Pimpingos</t>
  </si>
  <si>
    <t>Ml enrocado</t>
  </si>
  <si>
    <t>Alcantarilla</t>
  </si>
  <si>
    <t>Ml Afimado 0.2</t>
  </si>
  <si>
    <t>Saneamiento Terreno</t>
  </si>
  <si>
    <t>Veredas</t>
  </si>
  <si>
    <t>Estribo concreto armado</t>
  </si>
  <si>
    <t>Ml falso puente</t>
  </si>
  <si>
    <t>Ml Losa de concreto de puente</t>
  </si>
  <si>
    <t>Alcantarillas metálicas</t>
  </si>
  <si>
    <t>Construcción Trocha Carrozable Cunuat - Quilucat, distrito de Cujillo - Cutervo - Cajamarca</t>
  </si>
  <si>
    <t>Creación del camino Vecinal Ladrillera - Huabal - Santa Rosa Distrito de Callayuc, Provincia de Cutervo - Cajamarca.</t>
  </si>
  <si>
    <t>Mejoramiento y Ampliacion de la vía vecinal entre el tramo cruce Inguer - Paltic - Sagasmache - La Colpa y Paric, distrito de Querocotillo - Cutervo - Cajamarca</t>
  </si>
  <si>
    <t>Baterías Para Baños</t>
  </si>
  <si>
    <t>0</t>
  </si>
  <si>
    <t>0.00</t>
  </si>
  <si>
    <t xml:space="preserve">Sala de Cómputo </t>
  </si>
  <si>
    <t>Sala de Cómputo</t>
  </si>
  <si>
    <t>Departamento de Educación Física</t>
  </si>
  <si>
    <t>Cisterna</t>
  </si>
  <si>
    <t>Impresoras</t>
  </si>
  <si>
    <t>Muebles de 
computadora</t>
  </si>
  <si>
    <t>Equipo de biología y 
carpinteria</t>
  </si>
  <si>
    <t>Mejoramiento de los Servicios de Educacion Inicial Escolarizada, en las localidades de Cedropampa, Miraflores, Valle Grande, Gramalotillo, Contulián, el Arenal, la Jayua y Casa Hogar de Maria provincia de Cutervo, Región Cajamarca</t>
  </si>
  <si>
    <t>UNIDAD FORMULADORA GERENCIA SUB REGIONAL JAÉN</t>
  </si>
  <si>
    <t>Construcción e Implementación del Hospital II-1 de Cajabamba</t>
  </si>
  <si>
    <t>PROYECTOS - DIRECCIÓN REGIONAL DE AGRICULTURA</t>
  </si>
  <si>
    <t>Mejoramiento de la competitividad de los productores de ganado bovino lechero en la Región Cajamarca</t>
  </si>
  <si>
    <t>Mejoramiento del servicio de transitabilidad vehicular de la Carretera Otuzco - Rinconada Otuzco - Otuzco La Victoria - Puylucana</t>
  </si>
  <si>
    <t>Mejoramiento de Camino vecinal</t>
  </si>
  <si>
    <t>Mejoramiento del Sistema de Referencia y Contrareferencia del ámbito territorial del Puesto de Salud de Udima, Microred Ramada de Llama distrito de Catache- provincia de Santa Cruz - Departamento de Cajamarca</t>
  </si>
  <si>
    <t>Mejoramiento del Sistema de Referencia y Contrareferencia del ámbito territorial del Centro de Salud de Pulán de la Microred Santa Cruz distrito de Pulán-provincia de Santa Cruz-Departamento de Cajamarca</t>
  </si>
  <si>
    <t>Ambulancia</t>
  </si>
  <si>
    <t>Mejoramiento del Sistema de Referencia y Contrareferencia del ámbito Territorial del Centro de Salud Cochalán distrito de San José del Alto, provincia de Jaén, departamento de Cajamarca</t>
  </si>
  <si>
    <t>Instalación del Sistema Eléctrico Rural Rural Celendín Fase III</t>
  </si>
  <si>
    <t xml:space="preserve">Instalación de líneas y redes primarias, redes secundarias de electrificación rural de los caseríos Granadilla, Huasipampa, Ushushque Grande y Ushushque Chico, Distrito de Uticyacu - Santa Cruz - Cajamarca </t>
  </si>
  <si>
    <t>Pequeño Sistema Eléctrico Tembladera I Etapa</t>
  </si>
  <si>
    <t>Ml reforestación</t>
  </si>
  <si>
    <t>Construcción Carretera Chimbán - Pión - Santa Rosa</t>
  </si>
  <si>
    <t>Mejoramiento de la Carretera Emp.PE-3N (Bambamarca) Atoshaico - Ramoscucho - La Libertad de Pallán - Emp. PE 8B (Celendín)</t>
  </si>
  <si>
    <t>Mejoramiento Carretera Ca - 101 - Tramo Empalme -Pe  Inf (Contumazá) - Yetón</t>
  </si>
  <si>
    <t>Proyecto Mejora de la Calidad Educativa</t>
  </si>
  <si>
    <t>1.1.</t>
  </si>
  <si>
    <t>Capacitación en Proyectos de Investigación Educativos</t>
  </si>
  <si>
    <t>1.2.</t>
  </si>
  <si>
    <t>Promoción y monitoreo de la Capacitación Docente</t>
  </si>
  <si>
    <t>Capacitación en Estrategias Metodológicas de Lectura, Escritura y Matemática</t>
  </si>
  <si>
    <t>Sistematización de Experiencias Exitosas a nivel de Redes Educativas.</t>
  </si>
  <si>
    <t>4.1.</t>
  </si>
  <si>
    <t>Supervisión del Proyecto</t>
  </si>
  <si>
    <t>Imprevistos</t>
  </si>
  <si>
    <t>Proyecto Logros de Aprendizaje</t>
  </si>
  <si>
    <t>Componente 01 Gestión Adecuada del Monitoreo y Capacitación Docente</t>
  </si>
  <si>
    <t>Componente 6: Espacios Comunales para favorecer el Aprendizaje y Funcionamiento de Mecanismos de Vigilancia</t>
  </si>
  <si>
    <t>Supervisión y Liquidación</t>
  </si>
  <si>
    <t>Monitoreos Provinciales</t>
  </si>
  <si>
    <t>Sistematización</t>
  </si>
  <si>
    <t>Supervisor</t>
  </si>
  <si>
    <t>Global</t>
  </si>
  <si>
    <t>Minicentral Hidroeléctrica de Lanchema y Pequeño Sistema Eléctrico Asociado</t>
  </si>
  <si>
    <t xml:space="preserve">Electrificación Rural Parte Márgen Derecha e Izquierda Rio Chinchipe </t>
  </si>
  <si>
    <t>Mejoramiento, Ampliación e Implementación de la Infraestructura Educativa de La I.E. Santa Rosa Nº 16537 localidad Tamborapa Pueblo, Distrito de Tabaconas - San Ignacio - Cajamarca</t>
  </si>
  <si>
    <t>Reconstrucción de la Infraestructura y Equipamiento de la Institución Educativa Primaria y Secundaria Nº 16151 Nuestra Señora del Carmen Piquijaca, Distrito de San Felipe - Jaén - Cajamarca</t>
  </si>
  <si>
    <t>Reconstrucción y Mejoramiento de Infraestructura Institución Educativa N° 16907 Cristo Rey - Saucepampa</t>
  </si>
  <si>
    <t>Instalación de los servicios de los centros de recursos para el aprendizaje en las redes educativas de Supayacu y Los Naranjos, en la provincia de San Ignacio - Región Cajamarca</t>
  </si>
  <si>
    <t>Reconstrucción y mejoramiento de infraestructura Institución Educativa N° 16036 Alfonso Arana Vidal - San Miguel de las Naranjas</t>
  </si>
  <si>
    <t>Mejoramiento y ampliación del servicio educativo de la I.E.E. 16070 Corazón de Jesús de la localidad de Tabacal, distrito Jaén, provincia de Jaén, Región Cajamarca</t>
  </si>
  <si>
    <t>Instalación del servicio de agua para riego en el Centro Poblado Salacat, Distrito Sorochuco, Provincia Celendín, Región Cajamarca</t>
  </si>
  <si>
    <t>Instalación de servicios turísticos en el Circuito Turístico Udima-Poro Poro, distrito de Catache, provincia de Santa Cruz, Región Cajamarca</t>
  </si>
  <si>
    <t>Mejoramiento y ampliacion de los servicios turísticos públicos en el complejo arqueológico Kuntur Wasi, distrito y provincia de San Pablo, Región Cajamarca</t>
  </si>
  <si>
    <t>Instalación de servicios turísticos públicos en la zona arqueológica monumental Layzón y su ámbito, distrito, provincia y Región Cajamarca</t>
  </si>
  <si>
    <t>Mejoramiento Canal de Irrigación Malcas II Etapa</t>
  </si>
  <si>
    <t>Fortalecimiento para la forestación y reforestación con especies nativas y exóticas en la zona de Chirinos, distrito de Chirinos - San Ignacio - Cajamarca</t>
  </si>
  <si>
    <t>Instalación del sistema de riego Lluchubamba, distrito Sitacocha, Cajabamba.</t>
  </si>
  <si>
    <t>Mejoramiento e instalación del servicio de agua del sistema de riego del caserío de Santa Catalina, distrito de Cupisnique, provincia de Contumazá, Región Cajamarca</t>
  </si>
  <si>
    <t>Mejoramiento e instalación de riego tecnificado en el Centro Poblado de Cumbico, distrito Magdalena, provincia Cajamarca, Región Cajamarca</t>
  </si>
  <si>
    <t>Mejoramiento e instalación del servicio de agua del sistema de riego del centro poblado de Huagal, distrito de José Sabogal, provincia de San Marcos, Región Cajamarca</t>
  </si>
  <si>
    <t>Mejoramiento del servicio de agua para riego de los Canales Lanchez Arteza, Arteza Canchán,Anchipán Arteza Mascota, en el Centro Poblado Lamaspampa, distrito el Prado, provincia San Miguel, Región Cajamarca</t>
  </si>
  <si>
    <t>Mejoramiento y ampliación del servicio de agua para riego en las localidades de Shirac Punta, Jucat y Malcas, distrito de José Manuel Quiroz, provincia de San Marcos, Región Cajamarca</t>
  </si>
  <si>
    <t>Instalación del servicio de agua del sistema de riego, caserío Santa Rosa - distrito Cortegana - Provincia Celendín - Región Cajamarca</t>
  </si>
  <si>
    <t>Mejoramiento de la gestión institucional del recurso hídrico y el ambiente en las cuencas de las provincias de Cajamarca, San Pablo, San Marcos, Cajabamba, San Miguel y Contumazá de la región Cajamarca</t>
  </si>
  <si>
    <t>Mejoramiento del servicio de agua para el sistema de riego del centro poblado Huambocancha Alta, caserío Plan Porconcillo y Caserío Porconcillo Bajo- distrito Cajamarca, provincia Cajamarca, Región Cajamarca</t>
  </si>
  <si>
    <t>Incremento de la competitividad de la cadena productiva de los derivados lácteos del AEO El Campesino, distrito Bambamarca, Hualgayoc, Cajamarca</t>
  </si>
  <si>
    <t>Implementación de sala de reincubación y eficiencia en el manejo del proceso productivo de la Oncorhynchus Mykiss -Trucha Arcoiris</t>
  </si>
  <si>
    <t>Desarrollo competitivo de la crianza extensiva de peces de agua fría, Asociación de pescadores Laguna San Nicolás,distrito de Namora, Cajamarca, Cajamarca.</t>
  </si>
  <si>
    <t>Incremento de la productividad y mejoramiento de la calidad de la leche,Asociacion de Productores la Flor de Arveja, distrito de Chiguirip,Chota, Cajamarca</t>
  </si>
  <si>
    <t>Incremento de la Producción de leche del ganado vacuno criollo en la Asociación de Ganaderos Nueva Integracion Campesina del C.P. Cruz Roja Cachacara, distrito de Cutervo,Cutervo,Cajamarca</t>
  </si>
  <si>
    <t>Mejoramiento y ampliación sistema de riego - Suroconga, caserío Coñor, C.P. Huambocancha Alta - Cajamarca</t>
  </si>
  <si>
    <t>Mejoramiento e instalación del servicio de agua del sistema de riego en los Canales Molino Cunish - La Laguna y Canal Molino Sangal Pampas de San Luis en la Microcuenca Yaminchad Zona Baja - distrito San Luis - provincia San Pablo - Región Cajamarca</t>
  </si>
  <si>
    <t>Mejoramiento del servicio de agua del sistema de riego del Canal Batancucho - El Enterador, en las localidades de Batancucho, el Enterador,Chicolón Alto,El Enterador Bajo y Alcaparosa,en el distrito de Bambamarca,provincia Hualgayoc,Región Cajamarca</t>
  </si>
  <si>
    <t>Incremento de la productividad y mejoramiento de la articulación comercial de la palta fuerte de la Cooperativa de Servicios Múltiples de la Cuenca del Jequetepeque,distrito de Chilete,Contumazá,Cajamarca</t>
  </si>
  <si>
    <t>Incremento de la productividad de cultivo de arroz-sector Ventanillas, distrito de Yonán, Contumaza, Cajamarca</t>
  </si>
  <si>
    <t>Incremento de la productividad de cultivo del arroz-sector Pay-Pay, distrito de Yonán, Contumazá, Cajamarca</t>
  </si>
  <si>
    <t>Instalación de una planta de procesamiento de maquila y envasado de arroz de la Asociación de Productores Agropecuarios frontera cumbre Perico, distrito de Chirinos, San Ignacio, Cajamarca</t>
  </si>
  <si>
    <t>Mejoramiento de la cadena productiva de leche de los pequeños ganaderos integrantes de la Copaaesc, distrito Santa Cruz, Santa Cruz,Cajamarca</t>
  </si>
  <si>
    <t>Incremento de la productividad y comercialización de truchas,Asociación de productores Valle Chipuluc,distrito de Cutervo, Cutervo, cajamarca</t>
  </si>
  <si>
    <t>Incremento de la producción de café en la Asociación de Productores Agropecuarios Vírgen del Arco C.P. el Cumbe. Distrito de Callayuc, Cutervo, Cajamarca</t>
  </si>
  <si>
    <t>Instalación de piscigranja comunal de comunidades nativas,organizacion fronteriza Awajún de Cajamarca Sede Central Supayacu -Orfac,distrito de Huarango, San Ignacio,Cajamarca</t>
  </si>
  <si>
    <t>Incremento de la producción y comercialización de peces tropicales, en las unidades de producción acuicola de los productores de Jaén San Ignacio</t>
  </si>
  <si>
    <t>Incremento de la capacidad productiva de centros de producción de Oncorhynchus Mykiss-Trucha arcoiris,Asociación de productores acuícolas La libertad,distrito de Jaén,Jaén,Cajamarca</t>
  </si>
  <si>
    <t>Mejoramiento de la calidad y productividad de leche fresca,Asociación de Productores Agropecuarios Realidad Norteña caserío La Palma-Carhuarundo,distrito de Conchán,Chota,Cajamarca</t>
  </si>
  <si>
    <t>Incremento de la competitividad de la cadena productiva de la leche del AEO el obrero del caserío de Shauac, Centro Poblado Huangamarca,distrito de Bambamarca, Hualgayoc, Cajamarca</t>
  </si>
  <si>
    <t>Fortalecimiento de la competitividad de pequeños productores de café en la Cuenca del Río Chancay sector Río Seco, distrito de Ninabamba, Santa Cruz, Cajamarca.</t>
  </si>
  <si>
    <t>Mejoramiento del cultivo de palto con articulación comercial a mercados dinámicos del Caserío de Sarauz, distrito de la Libertad de Pallán, provincia de Celendín,Region Cajamarca</t>
  </si>
  <si>
    <t>Mejoramiento de la calidad de producción y comercialización de trucha, asociación de productores ecológicos y agropecuarios El Amaro, distrito de Bambamarca,Hualgayoc,Cajamarca</t>
  </si>
  <si>
    <t>Electrificación Rural Cabrero Campana Pingo Ogosgón</t>
  </si>
  <si>
    <t>Construcción Puente Las Puente las Paltas sobre el río Puclush</t>
  </si>
  <si>
    <t>Construcción puente peatonal Tolón distrito de Yonán Contumazá Cajamarca</t>
  </si>
  <si>
    <t>Mejoramiento camino vecinal tramo Emp.Ca-105 -La Palma-Conga el Verde y Tramo Emp. R-22 - La Libertad-Emp. R-114 - El Porvenir-Nvo. Triunfo-Emp R-22-Emp R-23-Cruce el Naranjo-El Naranjo-Emp CA-107 Chalamarca, distrito de Chalamarca - Chota - Cajamarca</t>
  </si>
  <si>
    <t xml:space="preserve">Mejoramiento de la Gestión Institucional de los Servicios Ambientales Hídricos en la Microcuencuenca del río Amojú en la provincia de Jaén, Cajamarca </t>
  </si>
  <si>
    <t>Construcción del sistema de agua potable y letrinas - caseríos Tumbadén Grande, Vista Alegre y Chacapampa, distrito de Tumbadén - San Pablo - Cajamarca</t>
  </si>
  <si>
    <t>Mejoramiento y Equipamiento I.E.N° Nº 82340 - Lluchubamba - Sitacocha - Cajabamba</t>
  </si>
  <si>
    <t>Reconstrucción infraestructura de la I.E. SM Simón Bolívar - San Miguel</t>
  </si>
  <si>
    <t>Reconstruccion I.E. 341 Llallán-distrito de Chilete - Contumazá</t>
  </si>
  <si>
    <t>Reforestación de las zonas  alto andinas de las provincias de Hualgayoc, Santa Cruz y Chota</t>
  </si>
  <si>
    <t>Construcción e Implementación del Hospital II-2 de Jaén</t>
  </si>
  <si>
    <t>Mejoramiento del Servicio Educativo en La I.E. Secundaria Luis Felipe de las Casas Grieve, Localidad de Sogos, Cochabamba, Provincia de Chota – Cajamarca.</t>
  </si>
  <si>
    <t>Mejoramiento del Servicio Educativo en la Institución Educativa Mi Perú Chabarbamba, Distrito Huambos, Provincia  Chota – Cajamarca.</t>
  </si>
  <si>
    <t xml:space="preserve">Mejoramiento de las condiciones del servicio de Educación Secundaria en la I. E. S. Ciro Alegría Bazán Centro Poblado Huayrasitana, distrito Chalamarca, Provincia Chota, Region Cajamarca </t>
  </si>
  <si>
    <t>Mejoramiento de la Cadena Productiva del ganado vacuno criollo y criollo mestizo a nivel multilocal, distrito de Santo Tomás - Cutervo - Cajamarca</t>
  </si>
  <si>
    <t>Mejoramiento de la Gestión Turística Sostenible en el Ámbito Rural de Cutervo - Distrito de Santo Domingo de La Capilla.</t>
  </si>
  <si>
    <t>Ferias Agropecuarias</t>
  </si>
  <si>
    <t>Implementación de La Oficina de Promoción del Desarrollo de La GSRC</t>
  </si>
  <si>
    <t>Instalación de la electrificación rural de las localidades de San Juan de Chiple, Nuevo Cavico, Nuevo Recodo y Cuyca Pimpingos</t>
  </si>
  <si>
    <t>Mejoramiento e instalación de los servicios de agua potable, alcantarillado y tratamiento de aguas residuales del Centro Poblado de Condorhuasi, distrito Pimpingos, provincia de Cutervo - Cajamarca</t>
  </si>
  <si>
    <t>Mejoramiento del servicio educativo de la I.E. Primaria Nº 16957 del caserío La Providencia, distrito de Sócota - Cutervo - Cajamarca</t>
  </si>
  <si>
    <t>Mejoramiento de los servicios educativos del Complejo Educativo (Inicial, Primaria y Secundaria) en el poblado de Panamá, distrito de Pimpingos, provincia de Cutervo, Región Cajamarca</t>
  </si>
  <si>
    <t>Mejoramiento de los servicios educativos de la Institución Educativa Secundaria San Agustín- C.P. Valle Callacate, Distrito Cutervo, provincia de Cutervo - Cajamarca</t>
  </si>
  <si>
    <t>Mejoramiento del servicios educativo de la IEP N 10310 de la localidad de LLuscapampa, distrito de la Ramada - Cutervo - Cajamarca</t>
  </si>
  <si>
    <t>Mejoramiento de infraestructura de riego Zonanga Alto - distrito y provincia de Jaén - Cajamarca</t>
  </si>
  <si>
    <t>Electrificaciön Rural Parte Baja - Chirinos - San Ignacio</t>
  </si>
  <si>
    <t>Mejoramiento del servicio de atención materno perinatal e infantil en el puesto de Salud Cesara, Red San Ignacio, Disa Jaén, distrito de Namballe - San Ignacio -Cajamarca</t>
  </si>
  <si>
    <t>Reposición de aulas y servicios higiénicos C.E.I.P.S. N° 16512 - Cesara</t>
  </si>
  <si>
    <t>Reposición de infraestructura del C.E. Nº 16188 Pakamuros - Puentecillos</t>
  </si>
  <si>
    <t>Mejoramiento del servicio educativo en la I.E. 16093-José Gálvez de Chunchuquillo, distrito de Colasay - Jaén - Cajamarca</t>
  </si>
  <si>
    <t>Construcción centro educativo 16065 San Martín</t>
  </si>
  <si>
    <t>Mejoramiento Complejo Educativo Ramón Castilla y Marquesado N° 16001</t>
  </si>
  <si>
    <t>Mejoramiento y ampliación del Canal Quilish La Paccha - caserío San Antonio Plan de Tual, C.P. Huambocancha Alta, Cajamarca</t>
  </si>
  <si>
    <t xml:space="preserve"> Cajamarca</t>
  </si>
  <si>
    <t>Electrificación Rural en la Microcuenca Muyoc-Shitamalca</t>
  </si>
  <si>
    <t>Sistema Eéctrico Rural Cajabamba III Etapa</t>
  </si>
  <si>
    <t>Sistema Eéctrico Rural Villa Santa Rosa II Etapa</t>
  </si>
  <si>
    <t>Sistema Eéctrico Rural Querocoto Huambos II Etapa</t>
  </si>
  <si>
    <t>Sistema Eéctrico  San Ignacio IV Etapa</t>
  </si>
  <si>
    <t>Sistema Eéctrico Rural Cajamarca Eje Asunción - II Etapa</t>
  </si>
  <si>
    <t>Sistema Eéctrico Rural Cajamarca, Eje Asunción III Etapa</t>
  </si>
  <si>
    <t>Sistema Eéctrico Rural Celendín IV Etapa</t>
  </si>
  <si>
    <t>Sistema Eéctrico Rural Chilete IV Etapa</t>
  </si>
  <si>
    <t>Sistema Eéctrico Rural Cutervo II Etapa</t>
  </si>
  <si>
    <t>Sistema Eéctrico Rural Cutervo III Etapa</t>
  </si>
  <si>
    <t>Sistema Eéctrico Rural Cutervo IV Etapa</t>
  </si>
  <si>
    <t>Sistema Eéctrico Rural de Cajabamba II Etapa</t>
  </si>
  <si>
    <t>Sistema Eéctrico Rural Jaén II Etapa</t>
  </si>
  <si>
    <t>Sistema Eéctrico Rural Jaén III Etapa</t>
  </si>
  <si>
    <t>Sistema Eéctrico Rural San Ignacio II Etapa</t>
  </si>
  <si>
    <t>Sistema Eéctrico Rural San Ignacio III Etapa</t>
  </si>
  <si>
    <t>Sistema Eéctrico Rural San Marcos - II Etapa</t>
  </si>
  <si>
    <t>Gestión del Programa y Otros - Ampliación de la frontera eléctrica  III Etapa - PAFEIII</t>
  </si>
  <si>
    <t>Instalación del sistema de electrificación rural del Caserío Alto Miraflores y Mejoramiento de frontera eléctrica para las zonas aledañas, distrito de los Baños del Inca - Cajamarca - Cajamarca</t>
  </si>
  <si>
    <t>UNIDAD FORMULADORA PROREGION</t>
  </si>
  <si>
    <t>Sistema Eéctrico Rural  Villa Santa Rosa I Etapa</t>
  </si>
  <si>
    <t>Instalación del Sistema Eléctrico Rural Localidades Ponte Bajo Chirimoyo, Huañimba, Matibamba, Pomabamba, La Isla y Ponte Alto Provincia Cajabamba - Cajamarca.</t>
  </si>
  <si>
    <t>UNIDAD FORMULADORA AGRICULTURA</t>
  </si>
  <si>
    <t>Componente 02 Manejo y Aplicación Adecuada de Estrategias de Aprendizaje por los docentes</t>
  </si>
  <si>
    <t>Ampliación, Mejoramiento del Servicio Educativo de la I.E Manuel Pardo y Lavalle CP. Pampa La Rioja Distrito Sócota - Cajamarca</t>
  </si>
  <si>
    <t>Sala de Profesores</t>
  </si>
  <si>
    <t>Loza Deportiva</t>
  </si>
  <si>
    <t>Laboratorio de Cómputo</t>
  </si>
  <si>
    <t>Baterías para Baños</t>
  </si>
  <si>
    <t>13.2 kv</t>
  </si>
  <si>
    <t>Red de Media Tensión</t>
  </si>
  <si>
    <t>Primer Módulo</t>
  </si>
  <si>
    <t>Segundo Módulo</t>
  </si>
  <si>
    <t xml:space="preserve">Recuperaciòn de Infraestructura IEP Nº 16053 CP Ambato - Bellavista </t>
  </si>
  <si>
    <t>SS.HH </t>
  </si>
  <si>
    <t>Dirección y Sala de Profesores</t>
  </si>
  <si>
    <t>Aula 4, Aula 5, Aula 6 </t>
  </si>
  <si>
    <t>Plataforma Deportiva </t>
  </si>
  <si>
    <t>Ambiente para Laboratorio aula de Innovación Pedagógica, cocina comedor y S.U.M. Centro de Recursos Educativo </t>
  </si>
  <si>
    <t>Escalera</t>
  </si>
  <si>
    <t>Cerco Perimétrico</t>
  </si>
  <si>
    <t>Equipamiento y Mobiliario Escolar</t>
  </si>
  <si>
    <t>Museo</t>
  </si>
  <si>
    <t>Losa Deportiva m2</t>
  </si>
  <si>
    <t>Módulos</t>
  </si>
  <si>
    <t>Tribunas, graderías</t>
  </si>
  <si>
    <t xml:space="preserve">      </t>
  </si>
  <si>
    <t>Reconstrucción talleres I.E. Comandante Leoncio Martinez Vereau - Cajabamba - Cajamarca</t>
  </si>
  <si>
    <t>Construcción e implementación de la Unidad de Gestión Educativa Local Hualgayoc - Bambamarca</t>
  </si>
  <si>
    <t>SUB GERENCIA DE ASUNTOS POBLACIONALES</t>
  </si>
  <si>
    <t>Evaluación continua del la ejecución del POA 2014 SGAP</t>
  </si>
  <si>
    <t>Reunión de Trabajo</t>
  </si>
  <si>
    <t>Reuniones de concertación con medios de comunicación locales y regionales, para sensibilizar e informar a la población sobre la salud sexual, reproductiva y la planificación familiar.</t>
  </si>
  <si>
    <t>RESULTADO 4: Proyectos presentados a la Cooperación Internacional, e coordinación con Instituciones Privadas y con la Sociedad Civil Organizada</t>
  </si>
  <si>
    <t xml:space="preserve">Reuniones con Unidades Ejecutoras, para el  seguimiento de Indicadores del Convenio Presupuestario EUROPAN Nivel 2, </t>
  </si>
  <si>
    <t>Monitoreo al Convenio SIS Capitado</t>
  </si>
  <si>
    <t>Talleres participativos con actores involucrados en la reducción de la desnutrición crónica infantil para identificar experiencias exitosas a ser incorporadas en el Programa de Inversión en DCI</t>
  </si>
  <si>
    <t>Reuniones técnicas con Universidades públicas y privadas de la región, para promover el desarrollo de investigaciones científicas que eleven la eficiencia de la intervenciones del programa articulado nutricional y salud materna</t>
  </si>
  <si>
    <t>Visitas de supervisión y evaluación a la implementación de la propuesta técnico de articulacion entre salud y  educación, en torno a las prioridades regionales.</t>
  </si>
  <si>
    <t>Elaboración del Plan Regional de Lucha contra las Drogas en la Región Cajamarca</t>
  </si>
  <si>
    <t>Documento de Gestión</t>
  </si>
  <si>
    <t>Participar en la elaboración del Programa de Agua y Saneamiento, así como en la aprobación y ejecución.</t>
  </si>
  <si>
    <t>Participar en la evaluación semestral de ejecutoras de salud, vivienda y aldea infantil.</t>
  </si>
  <si>
    <t>Informe Evaluación</t>
  </si>
  <si>
    <t>Revisar y Proponer modificaciones a Convenios específicos en proceso de implementación, en caso amerite.</t>
  </si>
  <si>
    <t>Visita semestral para la supervisión de los indicadores del Porgrama Salud Materno Neonatal,  de las Direcciones Sub Regionales de Salud (Estrategia de Salud Sexual y Reproductiva) en coordinación con DIRESA</t>
  </si>
  <si>
    <t>Reuniones técnicas de seguimiento y evaluación a la implementación de proyectos de Inversión Pública en Salud Materna  Infantil.</t>
  </si>
  <si>
    <t>Sustentación e implementación de la ordenanza regional.</t>
  </si>
  <si>
    <t>Jornadas de capacitación con enfoque de género a funcionarios y equipo técnico de salud y educación.</t>
  </si>
  <si>
    <t>Jornada</t>
  </si>
  <si>
    <t>Repuestos y Accesorios</t>
  </si>
  <si>
    <t>Papalería en General</t>
  </si>
  <si>
    <t>Contribuciones a ESSALUD</t>
  </si>
  <si>
    <t>Contrato Admistrativo CAS</t>
  </si>
  <si>
    <t>Viáticos</t>
  </si>
  <si>
    <t>Pasajes</t>
  </si>
  <si>
    <t>Combustibles</t>
  </si>
  <si>
    <t xml:space="preserve">RESULTADO 11: Gastos por específica </t>
  </si>
  <si>
    <t>Municipios participando en disminución de la transmisión de enfermedades metaxénicas y zoonóticas</t>
  </si>
  <si>
    <t>Familia con prácticas saludables para la prevención de enfermedades metaxénicas y zoonóticas</t>
  </si>
  <si>
    <t>Monitoreo, supervisión, evaluación y control Metaxénicas y zoonosis</t>
  </si>
  <si>
    <t>Desarrollo de normas y guías técnicas en Metaxénicas y zoonosis</t>
  </si>
  <si>
    <t>PROYECTOS - DIRECCIÓN SUBREGIONAL SALUD CHOTA</t>
  </si>
  <si>
    <t>PROYECTOS - DIRECCIÓN SUB REGIONAL SALUD JAÉN</t>
  </si>
  <si>
    <t>Diagnóstico y tratamiento de enfermedades metaxénicas</t>
  </si>
  <si>
    <t>Incentivar la participación de Promotores Privados de la zona en los Programas  de Vivienda</t>
  </si>
  <si>
    <t xml:space="preserve">Promoción y seguimiento  de Áreas Técnicas de Saneamiento </t>
  </si>
  <si>
    <t>Fortalecimiento a Gobiernos Locales "JORAASFORGOL" (Jornadas Regionales de Asistencia y Fortalecimiento a Gobiernos Locales).</t>
  </si>
  <si>
    <t>Fortalecimiento del CER y del CILs (CER: Comité Ejecutivo Regional; CILs.: Comités Impulsores Locales) de agua y saneamiento</t>
  </si>
  <si>
    <t>Coordinación , asesoramiento, aprobación de documentos técnico administrativos y de gestión de la Dirección Regional.</t>
  </si>
  <si>
    <t>PTAP/Metas
 Contractuales</t>
  </si>
  <si>
    <t>Instalación de los Servicios de Agua Potable y Alcantarillado de la localidad de Linderos, del distrito de Jaén, Provincia de Jaén - Cajamarca</t>
  </si>
  <si>
    <t>SUB GERENCIA DE DESARROLLO SOCIAL Y HUMANO</t>
  </si>
  <si>
    <t>Planificación y gestión administrativa</t>
  </si>
  <si>
    <t>Adquision de materiales de escritorio</t>
  </si>
  <si>
    <t>Adquisición de respuestos y accesorios</t>
  </si>
  <si>
    <t>Asistente Administrativo</t>
  </si>
  <si>
    <t>contribuciones a Es salud</t>
  </si>
  <si>
    <t>Seguimiento y monitoreo a los proyectos de inversión.</t>
  </si>
  <si>
    <t>Visitas de seguimiento y monitoreo a la ejecución de  PIP en las provincias de la región.</t>
  </si>
  <si>
    <t>Acompañamiento a la ejecución de los programas presupuestales en educación</t>
  </si>
  <si>
    <t>Reuniones Tecnicas a nivel de las Unidades de Gestión Educativa de cada provincia de la Región.</t>
  </si>
  <si>
    <t>Taller centralizado para evaluación de los programas estratégicos de Logros de Aprendizaje</t>
  </si>
  <si>
    <t xml:space="preserve"> Fortalecer las capacidades de gestión de las comunidades y rondas campesinas de la región. </t>
  </si>
  <si>
    <t>Responsable de comunidades y rondas campesinas.</t>
  </si>
  <si>
    <t>Promoción y fortalecimiento cultural de los pueblos indígenas de la región Cajamarca</t>
  </si>
  <si>
    <t>Taller participativo para al elaboración del Plan de desarrollo concertado de las comunidades awuajun</t>
  </si>
  <si>
    <t>Reuniones con autoridades y comunidades awajun</t>
  </si>
  <si>
    <t>Responsable de Comunidades Nativas.</t>
  </si>
  <si>
    <t>Sistematización de la música y tradiciones de la región Cajamarca.</t>
  </si>
  <si>
    <t>Documental</t>
  </si>
  <si>
    <t>Audio</t>
  </si>
  <si>
    <t xml:space="preserve">Visitas  </t>
  </si>
  <si>
    <t>Adquisición</t>
  </si>
  <si>
    <t>Asistente</t>
  </si>
  <si>
    <t>Creación del centro documental de la música y las tradiciones culturales de la región de Cajamarca.</t>
  </si>
  <si>
    <t>Recojo de infomación primaria videografica  de danzas folclóricas y tradicionales de la región</t>
  </si>
  <si>
    <t>Recojo de información primaria en audio de la música tradiciones folclórica a nivel de la región.</t>
  </si>
  <si>
    <t xml:space="preserve">ACTIVIDAD DE PROTECCIÓN SOCIAL </t>
  </si>
  <si>
    <t>COREMU lidera proceso de vigilancia para el ejercicio de los derechos de las mujeres a nivel regional.</t>
  </si>
  <si>
    <t xml:space="preserve">Realizar eventos provinciales para conformar Consejos Provinciales de la Mujer </t>
  </si>
  <si>
    <t>Acta de constitución del consejo</t>
  </si>
  <si>
    <t xml:space="preserve">Ejecución Encuentro regional de mujeres liderezas </t>
  </si>
  <si>
    <t xml:space="preserve">Encuentro </t>
  </si>
  <si>
    <t xml:space="preserve">Realizar capacitación a jóvenes en toda la región </t>
  </si>
  <si>
    <t>Ejecución del plan de voluntariado juvenil  Realizar capacitación a jóvenes en toda la Región</t>
  </si>
  <si>
    <t>Elaboración de Plan de Monitoreo para promover la ampliación  de la cobertura de afiliación  y atención de las PAMs en el SIS, pensión 65, CIAM, municipalidades.(Elaboración de fichas técnicas para monitoreo)</t>
  </si>
  <si>
    <t>Capacitación a Gobiernos Locales en el marco del Programa Regional de Poblaciones (Celendín, Contumaza y San Pablo).</t>
  </si>
  <si>
    <t xml:space="preserve">Monitoreo a los gobiernos locales en el marco del cumplimiento del programa regional de poblaciones. </t>
  </si>
  <si>
    <t>informe</t>
  </si>
  <si>
    <t xml:space="preserve"> Asistencia técnica  a las DEMUNAS , CARs</t>
  </si>
  <si>
    <t>Asistencia Técnica</t>
  </si>
  <si>
    <t>Lanzamiento, ejecución y evaluación de la IV campaña comunicacional.</t>
  </si>
  <si>
    <t>Presentacion de informe sustentatorios para la creación de la jefatura Regional de RENIEC</t>
  </si>
  <si>
    <t>Articulación con la RENIEC, Salud, Educación en campañas de entrega  de documentos de identidad.</t>
  </si>
  <si>
    <t>Reconocimiento Regional a los  gobiernos locales con mayor número de niños y niñas con DNI.</t>
  </si>
  <si>
    <t xml:space="preserve">Culminación , implementacion monitoreo y evaluación  del Plan  Regional  de la Lucha  de la Violencia familiar y sexual ( mujer, niña y niño ) a nivel de la región </t>
  </si>
  <si>
    <t xml:space="preserve">Campaña  preventivo- promocional  de la no violencia familiar y sexual. </t>
  </si>
  <si>
    <t>Jornada de sensibilización   a la población cajamarca  en el marco  del dia internacional de la erradicación  de la violencia  familiar y  sexual</t>
  </si>
  <si>
    <t xml:space="preserve"> Intervención de las autoridades organizaciones sociales de defensa y promotores de justicia  en el problema de trata de personas con un listado de  acciones concretas.</t>
  </si>
  <si>
    <t xml:space="preserve">Instituciones fomentan la cultura de paz e igualdad de oportunidades entre sus trabajadores. </t>
  </si>
  <si>
    <t xml:space="preserve">Campañas de comunicación para promover la Cultura de Paz de manera transversal </t>
  </si>
  <si>
    <t xml:space="preserve">Profesionales y Autoridades aplican  la normatividad vigente internacional  y nacional  en materia  de niñez y adolescentes </t>
  </si>
  <si>
    <t>Organizar un foro sobre  avances y desafíos para el desarrollo de la niñez y adolescencia.</t>
  </si>
  <si>
    <t xml:space="preserve">Orden de Servicio </t>
  </si>
  <si>
    <t xml:space="preserve">Realizar encuentro regional de jóvenes líderes. </t>
  </si>
  <si>
    <t>COREJU lidera proceso de vigilancia para el ejercicio de los derechos de los jóvenes y adolescentes a nivel regional.</t>
  </si>
  <si>
    <t xml:space="preserve">Niños y niñas, adolescentes   y gestantes cuentan  con DNI de manera universal
 y oportuna  </t>
  </si>
  <si>
    <t>Población denuncia  los actos  de violencia  familiar y sexual y busca ayuda 
para su protección  de las víctimas</t>
  </si>
  <si>
    <t>Mejorar la salud biopsicosocial del Adulto Mayor  a través de la campaña de salud "Ayuda a Sonreir  al Adulto Mayor"</t>
  </si>
  <si>
    <t>Ejecución  de Jornada regional de sensibilización de las mujeres en coordinación con organizaciones de base (Rondas Campesinas,Consejos Estudiantiles, Sindicatos)</t>
  </si>
  <si>
    <t xml:space="preserve"> </t>
  </si>
  <si>
    <t>Campaña integral para la persona adulta mayor (atención médica, orientación de sus derechos y recreación)</t>
  </si>
  <si>
    <t>Seguimiento y evaluacion del acuerdo interinstitucional  (SIS, RENIEC, JUNTOS Y G.R)</t>
  </si>
  <si>
    <t>Auspicio para el Primer Seminario de Terapia de Lenguaje</t>
  </si>
  <si>
    <t>Ayuda Biomecánica para Personas con Discapacidad física</t>
  </si>
  <si>
    <t xml:space="preserve">Fomento de la creación de oficina municipal de atención y participación del vecino con discapacidad (OMAPED) </t>
  </si>
  <si>
    <t>Fortalecimiento de OMAPEDS provinciales y distritales.</t>
  </si>
  <si>
    <t>Elaboración de Politicas públicas de discapacidad.</t>
  </si>
  <si>
    <t>Semana Inclusiva de "Conmemoración del Día de la Persona con Discapacidad en el Perú"</t>
  </si>
  <si>
    <t>Campaña de Sensibilización en Promoción de la Persona con Discapacidad</t>
  </si>
  <si>
    <t>Foro Regional Prevención de Trata de Personas con Discapacidad en la Región Cajamarca</t>
  </si>
  <si>
    <t>Elaboración de Base de datos para la Oficina Regional de Atención a la Persona con Discapacidad</t>
  </si>
  <si>
    <t>Sensibilización</t>
  </si>
  <si>
    <t>Celebración</t>
  </si>
  <si>
    <t>Auspicio para el Primer Congreso Regional de Personas con Discapacidad en Cajamarca</t>
  </si>
  <si>
    <t>ACTIVIDADES DE LA SUB GERENCIA DE DESARROLLO HUMANO-OREDIS</t>
  </si>
  <si>
    <t>Servicio Regional de Promoción del Empleo SEREP Cajamarca (Bolsa de Empleo)</t>
  </si>
  <si>
    <t>a.- Inscripción de personal de bolsa de trabajo</t>
  </si>
  <si>
    <t xml:space="preserve">b.- Colocación de personal </t>
  </si>
  <si>
    <t>a.- Aplicación de Test de Orientación Vocacional</t>
  </si>
  <si>
    <t>b.- Charlas de Sensibilización y Orientación</t>
  </si>
  <si>
    <t>c.- Alumnos Evaluados en los Test de Orientación Vocacional</t>
  </si>
  <si>
    <t xml:space="preserve">a.- Personas con Discapacidad </t>
  </si>
  <si>
    <t>b.- Charlas CDRPETI</t>
  </si>
  <si>
    <t>d.- Campaña PCD</t>
  </si>
  <si>
    <t>Registros de Empresas Promocionales de personas con discapacidad</t>
  </si>
  <si>
    <t xml:space="preserve">Registros de Convenios de Modalidades Formativas Laborales </t>
  </si>
  <si>
    <t xml:space="preserve">a. Elaboración de Notas de Prensa Técnicas sobre la Variación Mensual del Empleo </t>
  </si>
  <si>
    <t>b. Difusión, Notas de Prensa y Comunicados</t>
  </si>
  <si>
    <t>Inpecciones por Denuncia (Despidos arbitrarios e incumplimiento de Disposiciones Laborales).</t>
  </si>
  <si>
    <t>Registro y aprobación de Libros de Actas de Cómites de Seguridad y Salud en el Trabajo</t>
  </si>
  <si>
    <t>Aprobación de Reglamentos de Seguridad y Salud en el Trabajo</t>
  </si>
  <si>
    <t>Difusión (Publicaciones, tripticos y otros)</t>
  </si>
  <si>
    <t>-</t>
  </si>
  <si>
    <t>0.0</t>
  </si>
  <si>
    <t>PROYECTOS - DESARROLLO ECONÓMICO</t>
  </si>
  <si>
    <t>Mantenimiento de la Infraestructura de riego existente</t>
  </si>
  <si>
    <t>Multprovincial</t>
  </si>
  <si>
    <t>Mantenimiento</t>
  </si>
  <si>
    <t>Mejoramiento de los canales de riego: Picuy - Munana - El Tingo e instalación del sistema de riego tecnificado caserío Munana, distrito de Catache - Santa Cruz - Cajamarca</t>
  </si>
  <si>
    <t>Contribuciones a Essalud</t>
  </si>
  <si>
    <t>Contribuciones a EsSalud</t>
  </si>
  <si>
    <t>Campañas Médicas Integrales y de Certificación de Discapacidad.</t>
  </si>
  <si>
    <t>Personas</t>
  </si>
  <si>
    <t xml:space="preserve">Incremento en la Productividad y Mejoramiento de la Calidad del Café, Asociación UNICAFEC, Distrito de San Ignacio, San Ignacio, Cajamarca. </t>
  </si>
  <si>
    <t>I.</t>
  </si>
  <si>
    <t xml:space="preserve">Otorgamiento de Derechos Acuícolas. </t>
  </si>
  <si>
    <t>Fortalecimiento de Capacidades a  Piscicultores.</t>
  </si>
  <si>
    <t xml:space="preserve">Manejo y Operatividad de Centros Piscícolas DIREPRO (Namora, La Balza). </t>
  </si>
  <si>
    <t>T.M.</t>
  </si>
  <si>
    <t xml:space="preserve">Aplicación de Normas Técnico - Legales a la Introducción y Desinfección de Ovas Embrionadas. </t>
  </si>
  <si>
    <t>Seguimiento y Control de Enfermedades de Especies Hidrobiológicas.</t>
  </si>
  <si>
    <t>II.</t>
  </si>
  <si>
    <t>Mejoramiento de la Pesca por Acuicultura.</t>
  </si>
  <si>
    <t>2.1.</t>
  </si>
  <si>
    <t>Reconocimiento y Evaluación de Recursos Hídricos.</t>
  </si>
  <si>
    <t>RR.HH.</t>
  </si>
  <si>
    <t>Poblamiento y Repoblamiento de Recursos Hídricos.</t>
  </si>
  <si>
    <t>Recurso</t>
  </si>
  <si>
    <t>III.</t>
  </si>
  <si>
    <t>Promoción y Ordenamiento de la Actividad Pesquera.</t>
  </si>
  <si>
    <t>3.1.</t>
  </si>
  <si>
    <t>Promover la Conformación de Comités y/o Asociaciones de Pesca y Vigilancia.</t>
  </si>
  <si>
    <t>3.2.</t>
  </si>
  <si>
    <t>Permisos de Pesca Artesanal.</t>
  </si>
  <si>
    <t>Fortalecimiento de Capacidades a Pescadores Artesanales.</t>
  </si>
  <si>
    <t>3.4.</t>
  </si>
  <si>
    <t>IV.</t>
  </si>
  <si>
    <t>Control y Vigilancia de la Actividad Acuícola Pesquera.</t>
  </si>
  <si>
    <t>Identificación y Registro del Pescador Artesanal.</t>
  </si>
  <si>
    <t>4.2.</t>
  </si>
  <si>
    <t>Acreditación de Pescadores Artesanales.</t>
  </si>
  <si>
    <t>4.3.</t>
  </si>
  <si>
    <t>Inspección y Control de Derechos Administrativos de la Pesca y Acuicultura.</t>
  </si>
  <si>
    <t>4.4.</t>
  </si>
  <si>
    <t>Fortalecimiento de Instancia Administrativa -Sancionadora en Materia de Pesca y Acuicultura.</t>
  </si>
  <si>
    <t>V.</t>
  </si>
  <si>
    <t>Fomento al Consumo de Pescado y Seguridad Alimentaria.</t>
  </si>
  <si>
    <t>5.1.</t>
  </si>
  <si>
    <t>Fortalecimiento de Capacidades a Expendedores y Consumidores de Productos Hidrobiológicos.</t>
  </si>
  <si>
    <t>5.2.</t>
  </si>
  <si>
    <t>5.3.</t>
  </si>
  <si>
    <t xml:space="preserve"> Control de Calidad de Productos Hidrobiológicos.</t>
  </si>
  <si>
    <t>5.4.</t>
  </si>
  <si>
    <t>Promoción al Consumo Popular de Productos Hidrobiológicos.</t>
  </si>
  <si>
    <t>5.5.</t>
  </si>
  <si>
    <t>Fomento de la Gastronomía con Productos Pesqueros.</t>
  </si>
  <si>
    <t>VI.</t>
  </si>
  <si>
    <t>Fortalecimiento de las MYPEs</t>
  </si>
  <si>
    <t>6.1.</t>
  </si>
  <si>
    <t>Promoción a la Constitución y Formalización de las MYPEs y Cooperativas.</t>
  </si>
  <si>
    <t>6.2.</t>
  </si>
  <si>
    <t>6.3.</t>
  </si>
  <si>
    <t>Constitución y Formalización de las MYPEs y Cooperativas.</t>
  </si>
  <si>
    <t>6.4.</t>
  </si>
  <si>
    <t>Fomentar  la organización, participación e Inclusión de las MYPES y Cooperativas en procesos de Desarrollo Empresarial.</t>
  </si>
  <si>
    <t>6.5.</t>
  </si>
  <si>
    <t>VII.</t>
  </si>
  <si>
    <t>7.2.</t>
  </si>
  <si>
    <t>Certificaciones de Declaratoria de Impacto Ambiental (DIA).</t>
  </si>
  <si>
    <t>7.3.</t>
  </si>
  <si>
    <t>Monitoreo y Verificaciones Ambientales.</t>
  </si>
  <si>
    <t xml:space="preserve">Constancia </t>
  </si>
  <si>
    <t>VIII.</t>
  </si>
  <si>
    <t>Fortalecimiento de la Gestión Institucional.</t>
  </si>
  <si>
    <t>8.1.</t>
  </si>
  <si>
    <t>Fortalecimiento de Capacidades Técnicas y de Gestión del Recurso Humano Institucional.</t>
  </si>
  <si>
    <t>8.2.</t>
  </si>
  <si>
    <t>Monitoreo y Evaluación de la Gestión Institucional.</t>
  </si>
  <si>
    <t>8.3.</t>
  </si>
  <si>
    <t>Elaboración de Perfil y Expediente Técnico.</t>
  </si>
  <si>
    <t>8.4.</t>
  </si>
  <si>
    <t>Mejoramiento y Mantenimiento de la Infraestructura de Local Institucional.</t>
  </si>
  <si>
    <t>8.5.</t>
  </si>
  <si>
    <t>Mejoramiento e Implementación de la Capacidad Logística Institucional.</t>
  </si>
  <si>
    <t>8.6.</t>
  </si>
  <si>
    <t>Implementación de Sistema de Información.</t>
  </si>
  <si>
    <t>8.7.</t>
  </si>
  <si>
    <t>2.2.</t>
  </si>
  <si>
    <t>2.3.</t>
  </si>
  <si>
    <t>2.4.</t>
  </si>
  <si>
    <t>2.5.</t>
  </si>
  <si>
    <t>2.6.</t>
  </si>
  <si>
    <t>2.7.</t>
  </si>
  <si>
    <t>2.8.</t>
  </si>
  <si>
    <t>2.9.</t>
  </si>
  <si>
    <t>2.10.</t>
  </si>
  <si>
    <t>2.11.</t>
  </si>
  <si>
    <t>III:</t>
  </si>
  <si>
    <t>Fortalecimiento de Plataformas de Desarrollo Industrial</t>
  </si>
  <si>
    <t>3.5.</t>
  </si>
  <si>
    <t>Centro</t>
  </si>
  <si>
    <t xml:space="preserve">VI. </t>
  </si>
  <si>
    <t>Fomentar el  registro y  procesos empresariales de las MYPEs y Cooperativas.</t>
  </si>
  <si>
    <t xml:space="preserve">Formulación de Instrumento de Gestión. </t>
  </si>
  <si>
    <t xml:space="preserve">Promoción, supervisión y Asesoramiento a Piscigranjas </t>
  </si>
  <si>
    <t>Constitución de Organizaciones de Productores Acuícolas.</t>
  </si>
  <si>
    <t>Elaboración del Plan Regional de Acuicultura.</t>
  </si>
  <si>
    <t>Pescas Exploratorias en Recursos Lenticos y lóticos.</t>
  </si>
  <si>
    <t>Reporte Estadístico de Productos Hidrobiológicos Marinos y Continentales.</t>
  </si>
  <si>
    <t>Evaluación de la Calidad Ambiental de Recursos Hídricos.</t>
  </si>
  <si>
    <t>Capacitación y Difusión del Ordenamiento Jurídico, para Proteger la Salud d ela Persona, la del Medio Familiar y de la Comunidad, así como el Deber de Contribuir a su Promoción y Defensa</t>
  </si>
  <si>
    <t>Fortalecimiento de Capacidades Técnicas de los Gobiernos Locales en Materia de Erradicación de la Elaboración y Comercialización de Bebidas Alcohólicas Informales, no Aptas para Consumo Humano.</t>
  </si>
  <si>
    <t>Otorgamiento de Derechos Administrativos para la Erradicación, la Elaboración y Comercialización de Bebidas Alcohólicas Informales no Aptas para Consumo Humano.</t>
  </si>
  <si>
    <t>Inscripción y Renovación en el Registro Único de Alcohol Etílico.</t>
  </si>
  <si>
    <t>Actualización de la Información Proporcionada en la Inscripción en el Registro Único de Alcohol Etílico.</t>
  </si>
  <si>
    <t>Cancelación de la Inscripción en Registro Único de Alcohol Etílico.</t>
  </si>
  <si>
    <t>Anulación de la Inscripción en el Registro Único de Alcohol Etílico.</t>
  </si>
  <si>
    <t>Autorización de Registros Especiales</t>
  </si>
  <si>
    <t>Cierre del Libro y Traslado de Autorización del Registro Especial.</t>
  </si>
  <si>
    <t>Inscripción en el Registro de Comercializadores de Bebidas Alcohólicas.</t>
  </si>
  <si>
    <t>Actualización de la Información Proporcionada en la Inscripción en el Registro de Comercializadores de Bebidas Alcohólicas</t>
  </si>
  <si>
    <t>Cancelación del a Inscripción en Registro de Comercializadores de Bebidas Alcohólicas.</t>
  </si>
  <si>
    <t xml:space="preserve">Anulación de la Inscripción en el Registro de Comercializadores  de Bebidas Alcohólicas </t>
  </si>
  <si>
    <t>Evaluación y Registro de Informes Mensuales de Usuarios de Alcohol Etílico</t>
  </si>
  <si>
    <t>Servicios de Capacitación y Asistencia Técnica para las Empresas en Temas Productivos</t>
  </si>
  <si>
    <t>Brindar Capacitación y Asistencia Técnica a Trabajadores de las Empresas en Temas Productivos.</t>
  </si>
  <si>
    <t>Desarrollar Actividades de Articulación Productiva y Comercial</t>
  </si>
  <si>
    <t>Fortalecimiento de las Capacidades para la Planificación e Implementación de Políticas en Materia de Industria.</t>
  </si>
  <si>
    <t>Fortalecimiento de la Gestión Industrial en el Ámbito Regional</t>
  </si>
  <si>
    <t>Servicios para la Innovación y Transferencia Tecnológica</t>
  </si>
  <si>
    <t>Promoción de la Constitución de Centros de Servicios Empresariales</t>
  </si>
  <si>
    <t>Contribución a la Gestión Ambiental Regional en Materia de Industria.</t>
  </si>
  <si>
    <t>Fomentar la Aplicación de la Normatividad en Materia Ambiental en la Región.</t>
  </si>
  <si>
    <t>Asesorías</t>
  </si>
  <si>
    <t xml:space="preserve">Certificación </t>
  </si>
  <si>
    <t xml:space="preserve">Contrato administrativo de servicio (C.A.S.) </t>
  </si>
  <si>
    <t>Aguinaldos por fiestas patrias y navidad</t>
  </si>
  <si>
    <t>Aguinaldos</t>
  </si>
  <si>
    <t>Bonificación por escolaridad</t>
  </si>
  <si>
    <t>Bonificación</t>
  </si>
  <si>
    <t>Contribuciones a ESSALUD DE C.A.S.</t>
  </si>
  <si>
    <t>Contribuciones</t>
  </si>
  <si>
    <t>Mejoramiento De Camino Vecinal Chiguirip - El Arenal - Chuyabamba-Puente Rojo, Provincia De Chota - Cajamarca</t>
  </si>
  <si>
    <t>Km. Apertura</t>
  </si>
  <si>
    <t>Km. Afirmado</t>
  </si>
  <si>
    <t>Alcantarillas</t>
  </si>
  <si>
    <t>Plazoleta estacionamiento</t>
  </si>
  <si>
    <t>Cunetas de tierra</t>
  </si>
  <si>
    <t>Puente</t>
  </si>
  <si>
    <t>Construcción y Mejoramiento de la Carretera PE-3N (Bambamarca)-Paccha-Chimbán-Pión-LD con Amazonas (EMP 103 El Triunfo)</t>
  </si>
  <si>
    <t xml:space="preserve">Construcción del Sistema Eléctrico del Distrito Cochabamba, Caseríos Llanduma y Hualpahuana, Santa Isolina y Segues </t>
  </si>
  <si>
    <t>Mejoramiento del Sistema de Ditribución Secundaria 440/220 V, alumbrado público y conexiones domiciliarias del Centro Poblado Rosario de Chingama,  Distrito de Bellavista - Jaén - Cajamarca</t>
  </si>
  <si>
    <t>Red Primaria(KM)</t>
  </si>
  <si>
    <t>Levantamiento de Observaciones/
Liquidación</t>
  </si>
  <si>
    <t>Mejoramiento y ampliación del servicio de energía eléctrica en el Caserío de Tartar Grande, distrito de los Baños del Inca - Cajamarca - Cajamarca</t>
  </si>
  <si>
    <t>Gestión del programa y otros - Mejoramiento y ampliación de los sistemas de agua potable alcantarillado y tratamiento de aguas residuales de las principales ciudades del departamento de Cajamarca - I Etapa</t>
  </si>
  <si>
    <t>Instalación del sistema de alcantarillado de las zonas periféricas de la ciudad de Cajabamba- distrito y provincia de Cajabamba</t>
  </si>
  <si>
    <t>Capacitación sobre gestión del medio ambiente en las actividades mineras.</t>
  </si>
  <si>
    <t>Contrato Administrativo de Servicios</t>
  </si>
  <si>
    <t>FORMALIZACION DEL PEQUEÑO PRODUCTOR MINERO Y DEL PEQUEÑO MINERO ARTESANAL</t>
  </si>
  <si>
    <t>Implementación de la oficina de la Ventanilla Única</t>
  </si>
  <si>
    <t>ACTIVIDADES MINERO ENERGÉTICAS</t>
  </si>
  <si>
    <t>Viáticos y asignaciones por comision de servicos</t>
  </si>
  <si>
    <t>Funcionalidad del Grupo Técnico de Diversidad Biológica</t>
  </si>
  <si>
    <t>Fortalecimiento de Capacidades Regionales en Usos sostenible de la Diversidad Biológica</t>
  </si>
  <si>
    <t>Propuesta ámbitos de consejos (Documento)</t>
  </si>
  <si>
    <t>Fortalecimiento del Sistema Regional de Conservación de Cajamarca - SIRECC</t>
  </si>
  <si>
    <t>DIRECCIÓN REGIONAL DE ENERGÍA Y MINAS</t>
  </si>
  <si>
    <t>Pasajes y gastos de transportes</t>
  </si>
  <si>
    <t>Contrato de Personal</t>
  </si>
  <si>
    <t>2.3.1</t>
  </si>
  <si>
    <t>2.3.2</t>
  </si>
  <si>
    <t>Seguro</t>
  </si>
  <si>
    <t>Actividades de gabinete asesores</t>
  </si>
  <si>
    <t>ACTIVIDADES DIRECCIÓN DE CONTABILIDAD</t>
  </si>
  <si>
    <t>Elaboración de Boletín Estadístico Anual</t>
  </si>
  <si>
    <t>Gestionar aprobación Directivas para: administración de los Portal Web de las dependencias, administración del MAD, administración del internet en las dependencias del GRC,  uso de los equipos de cómputo en las Dependencias del GRC,  garantizar la Seguridad de la Información en la Sede del GRC, uso del SIGA, administración del MAO, implantación de la Mesa de ayuda</t>
  </si>
  <si>
    <t>Programa “reducción de desigualdades en  materia remunerativa y de compensaciones"</t>
  </si>
  <si>
    <t>Pago a personal a personal administrativo nombrado y CAS</t>
  </si>
  <si>
    <t>Prácticas Ambientales en Acuicultura</t>
  </si>
  <si>
    <t>Badén concreto</t>
  </si>
  <si>
    <t>SUB GERENCIA DE PLANEAMIENTO Y COOPERACIÓN TÉCNICA INTERNACIONAL Actividades</t>
  </si>
  <si>
    <t>Asistencia Técnica a Direcciones Regionales</t>
  </si>
  <si>
    <t>Formulación de Planes de Dircetur Aldea Infantil</t>
  </si>
  <si>
    <t>Recuperación de la Capacidad Productiva del Módulo Piscícola la Balza - San Ignacio - Zona Fronteriza de la Regiòn Cajamarca</t>
  </si>
  <si>
    <t>Persona con Comorbilidad recibe tratamiento para Tuberculosis</t>
  </si>
  <si>
    <t>4.10</t>
  </si>
  <si>
    <t>5.20</t>
  </si>
  <si>
    <t>7.10</t>
  </si>
  <si>
    <t>Acciones de control y auditoria</t>
  </si>
  <si>
    <t>Municipios saludables que promueven la prevención del cáncer de cuello uterino, mama, estómago, próstata, pulmón y colón, recto, hígado, leucemia, linfoma, piel y otros</t>
  </si>
  <si>
    <t>Inclusión social de las personas con discapacidad</t>
  </si>
  <si>
    <t>Población Informada sobre el cuidado infantil y practicas saludables para la prevención de anemia y desnutrición crónica.</t>
  </si>
  <si>
    <t>Hogares de personas afectadas de TBMDR con viviendas mejoradas</t>
  </si>
  <si>
    <t>Control y tratamiento de paciente con retinopatía oftalmológica del prematuro</t>
  </si>
  <si>
    <t>Tamizaje y Diagnostico de pacientes con errores refractivos</t>
  </si>
  <si>
    <t>Valoración clínica y tamizaje laboratorio de enfermedades crónicas no transmisibles</t>
  </si>
  <si>
    <t>Personas con consejería en la prevención del cáncer de colon y recto, hígado, leucemia, linfoma, piel y otros</t>
  </si>
  <si>
    <t>Atención del cáncer de cuello uterino para estiaje y tratamiento</t>
  </si>
  <si>
    <t>Atención del cáncer de mama para estiaje y tratamiento</t>
  </si>
  <si>
    <t>Atención del cáncer de pulmón que incluye: diagnostico, estiaje y tratamiento</t>
  </si>
  <si>
    <t>Personas de 45 a 65 años con endoscopia digestivo alta</t>
  </si>
  <si>
    <t>Comunidades saludables promueven estilos de vida saludable para la prevención de los principales tipos de cáncer</t>
  </si>
  <si>
    <t>Capacitación de comunidades en habilidades para reducir el riesgo de daños de salud</t>
  </si>
  <si>
    <t>Entrenamiento de la población en respuesta y rehabilitación en salud frente a emergencias y desastres</t>
  </si>
  <si>
    <t>Desarrollo de capacidades y asistencia técnica en gestión de riesgo de desastres</t>
  </si>
  <si>
    <t>Desarrollo de instrumentos estratégicos para la gestión del riesgo de desastres en salud</t>
  </si>
  <si>
    <t>Análisis de la vulnerabilidad de establecimientos de salud</t>
  </si>
  <si>
    <t>Estudio y vigilancia de enfermedades trazadoras y agentes etiológicos para la gestión del riesgo de desastres</t>
  </si>
  <si>
    <t>Gestión del programa</t>
  </si>
  <si>
    <t>Reducción de la mortalidad por emergencias y urgencias medicas</t>
  </si>
  <si>
    <t>Conducción y orientación superior</t>
  </si>
  <si>
    <t>Gestión de recursos humanos</t>
  </si>
  <si>
    <t>Atención médica de la emergencias o urgencia</t>
  </si>
  <si>
    <t>Hogar</t>
  </si>
  <si>
    <t>Pobladores de áreas con riesgo de transmisión informada conoce los mecanismos de transmisión de enfermedades metaxénicas y zoonóticas</t>
  </si>
  <si>
    <t>Viviendas protegidas de los principales condicionantes del riesgo en las áreas de alto y muy alto riesgo de enfermedades metaxénicas y zoonosis</t>
  </si>
  <si>
    <t>Tamizaje y Diagnóstico de paciente con retinopatía oftalmológica del prematuro</t>
  </si>
  <si>
    <t>Tamizaje</t>
  </si>
  <si>
    <t>Personas con evaluación médica preventiva en cáncer de colon y recto, hígado, leucemia, linfoma, piel y otros</t>
  </si>
  <si>
    <t>Acción Central</t>
  </si>
  <si>
    <t>Orientación</t>
  </si>
  <si>
    <t>Personal CAS</t>
  </si>
  <si>
    <t xml:space="preserve"> ESSalud</t>
  </si>
  <si>
    <t>PROYECTOS - SEDE REGIONAL -GERENCIA REGIONAL DE INFRAESTRUCTURA SUB GERENCIA DE OPERACIONES</t>
  </si>
  <si>
    <t>Contumazá, San Pablo</t>
  </si>
  <si>
    <t>Reposición de Personal</t>
  </si>
  <si>
    <t>Formulación y ejecución del  POA 2014 de la Sub Gerencia de Asuntos Poblacionales</t>
  </si>
  <si>
    <t>Atención de enfermedades diarréicas agudas</t>
  </si>
  <si>
    <t>Atención de enfermedades diarréicas agudas con complicaciones</t>
  </si>
  <si>
    <t>Incremento de la competitividad de la cadena productiva de la leche del AEO El Bosque del caserío el Timbo, Centro Poblado San Antonio, Distrito Bambamarca, Hualgayoc, Cajamarca</t>
  </si>
  <si>
    <t>Alineador concreto</t>
  </si>
  <si>
    <t>Mejoramiento de los servicios de Educacion Inicial Escolarizada de las localidades de Malcas, Shillabamba, El Ollero, Ventanillas, Campo Alegre, Jucat, Chupica y San Antonio, de las provincias de San Marcos y Celendín, Región Cajamarca</t>
  </si>
  <si>
    <t>Atención
Informe</t>
  </si>
  <si>
    <t>Contrato Administrativo de Servicios y Contribuciones a Essalud</t>
  </si>
  <si>
    <t>Diseño, elaboración e impresión del Plan de Supervisión y evaluación a Equipos Técnicos de las UE, en torno a Convenios de Apoyo Presupuestario y Convenio de Intercambio Prestacional</t>
  </si>
  <si>
    <t xml:space="preserve">Organizaciones sociales  e  instituciones  Públicas  resuelven  adecuadamente los casos de violencia </t>
  </si>
  <si>
    <t>Planificación y gestión Administrativa</t>
  </si>
  <si>
    <t xml:space="preserve">Desarrollo Normativo y Reguladora dentro del Marco de las Competencias de la Gerencia de Desarrollo Social. </t>
  </si>
  <si>
    <t>Diseño, Formulación e Implementación Politicas, Estrategias, Programas y Proyectos Sectoriales Regionales en Materia Social.</t>
  </si>
  <si>
    <t>Supervisar, Evaluar y Controlar la calidad de los servicios sociales básicos orientados a la atención de las personas.</t>
  </si>
  <si>
    <t>Consultorías</t>
  </si>
  <si>
    <t>Dirección de Empleo y Capacitación Profesional</t>
  </si>
  <si>
    <r>
      <rPr>
        <sz val="10"/>
        <rFont val="Calibri"/>
        <family val="2"/>
        <scheme val="minor"/>
      </rPr>
      <t>c.- Campañas CDRPETI - Erradicación del Trabajo Infantil</t>
    </r>
  </si>
  <si>
    <t>d.- Trípticos de Indicadores Laborales</t>
  </si>
  <si>
    <t>c.- Boletín Socio Económico Laboral</t>
  </si>
  <si>
    <t>Tríptico</t>
  </si>
  <si>
    <t>Rehabilitación y amplición del Sistema  de electrificación rural del caserío la Retama, distrito de Los Baños del Inca - Cajamarca - Cajamarca</t>
  </si>
  <si>
    <t>Instalacion del Sistema Electrico Rural para 16 localidades, Distrito Sitacocha, Provincia de Cajabamba-Región Cajamarca</t>
  </si>
  <si>
    <t>SEDE CENTRAL -PROYECTOS - GERENCIA  REGIONAL DE INFRAESTRUCTURA</t>
  </si>
  <si>
    <t>Sistema Eléctrico Rural San Marcos III Etapa</t>
  </si>
  <si>
    <t>GERENCIA SUB REGIONAL DE CUTERVO</t>
  </si>
  <si>
    <t>PROYECTOS DE LA SUB GERENCIA GESTIÓN DEL MEDIO AMBIENTE</t>
  </si>
  <si>
    <t>Instituciones educativas saludables que promueven la prevención del cáncer de cuello uterino, mama, otros estómago, próstata, pulmón, colón, recto, hígado, leucemia, linfoma, piel.</t>
  </si>
  <si>
    <t>5.000001: Planeamiento y Presupuesto</t>
  </si>
  <si>
    <t>Contabilidad</t>
  </si>
  <si>
    <t>Tesorería</t>
  </si>
  <si>
    <t>Logistica</t>
  </si>
  <si>
    <t>Patrimonio</t>
  </si>
  <si>
    <t>Maquinaria Agrícola</t>
  </si>
  <si>
    <t>Mult. Provinc.</t>
  </si>
  <si>
    <t>Fortalecimiento de capacidades a delegados de los Comites de Base y Directivos de las Cooperativas en gestión empresarial y Cooperativismo (Economía Solidaria) (GRDE)</t>
  </si>
  <si>
    <t>Provincial</t>
  </si>
  <si>
    <t>Asesoramiento para el manejo, conservación y aprovechamiento de camélidos sudamericanos domésticos y silvetres.</t>
  </si>
  <si>
    <t>Sistematización y Consolidación de la información de las actividades de competitividad agraria ejecutadas en las Agencias Agrarias- POA 2014.</t>
  </si>
  <si>
    <t>Conformación e implementación de brigadas en la Universidad Nacional de Cajamarca</t>
  </si>
  <si>
    <t>Ml Colocación geo textil</t>
  </si>
  <si>
    <t>Horas máquina</t>
  </si>
  <si>
    <t>Ha atendidas</t>
  </si>
  <si>
    <t>Monto captado S/.</t>
  </si>
  <si>
    <t>Supervisión</t>
  </si>
  <si>
    <t>S/ vendidos</t>
  </si>
  <si>
    <t>Volumen de
 Fibra Kg.</t>
  </si>
  <si>
    <t>GERENCIA DE INFRAESTRUCTURA - DIRECCIÓN REGIONAL DE TRANSPORTES Y COMUNICACIONES</t>
  </si>
  <si>
    <t>Mantenimiento Rutinario Manual</t>
  </si>
  <si>
    <t>Elaboración de Expedientes Técnicos</t>
  </si>
  <si>
    <t>Supervisión Mantenimiento Rutinario Manual</t>
  </si>
  <si>
    <t>Monitoreo, Control y Liquidaciones</t>
  </si>
  <si>
    <t>Capacitación y Asistencia Técnica</t>
  </si>
  <si>
    <t>Reparación y Mantenimiento de maquinaria y vehículos</t>
  </si>
  <si>
    <t>Mant. La Conga - Jancos - San Miguel</t>
  </si>
  <si>
    <t>Mant. El Empalme - Llapa</t>
  </si>
  <si>
    <t>Mant. Cajabamba - Dv. Jocos</t>
  </si>
  <si>
    <t>Mant. Cruz Grande - Guzmango</t>
  </si>
  <si>
    <t>Contumaza</t>
  </si>
  <si>
    <t>Mant. Dv. Jocos - Pumacama - Lluchubamba</t>
  </si>
  <si>
    <t>Mant. Guzmango - San Benito</t>
  </si>
  <si>
    <t>Mant. San Benito - Algarrobal</t>
  </si>
  <si>
    <t>Mant. San Miguel - Dv. Pencayo</t>
  </si>
  <si>
    <t>Mant. Llapa - San Miguel</t>
  </si>
  <si>
    <t>Mant. Algarrobal - L.D. La Libertad</t>
  </si>
  <si>
    <t>Mant. Dv. Pencayo - San Gregorio</t>
  </si>
  <si>
    <t>Mant. San Gregorio - San Martín - L.D. La Libertad</t>
  </si>
  <si>
    <t>Mant. Emp. PE. 3N(Pomabamba) - Chuquibamba - Araqueda - Corral Pampas - Sector Cocos</t>
  </si>
  <si>
    <t>Mant. Bambamarca - La Paccha - Chadín - Vista Hermosa</t>
  </si>
  <si>
    <t>Mant. Chota - La Palma - Conchán - Chigrip - Cutervo</t>
  </si>
  <si>
    <t>Mant. Contumazá - Cruz Grande</t>
  </si>
  <si>
    <t>Mant. El Empalme - Catilluc-Tongod - Santa Cruz</t>
  </si>
  <si>
    <t>Mant. Lluchubamba - Marcamachay - Santa Rosa</t>
  </si>
  <si>
    <t>Mantenimiento Rutinario Mecanizado</t>
  </si>
  <si>
    <t>Supervisión por Niveles de Servicio: Choropampa – Asunción – Cospán – Huayobamba</t>
  </si>
  <si>
    <t>Mantenimiento mecanizado San Miguel - Dv. Pencayo</t>
  </si>
  <si>
    <t>Mantenimiento mecanizado Chigrip - Conchan - La Palma</t>
  </si>
  <si>
    <t>Mantenimiento mecanizado El Empalme - Llapa</t>
  </si>
  <si>
    <t>Mantenimiento mecanizado Cajabamba - Dv. Jocos - Pumacama - Lluchubamba</t>
  </si>
  <si>
    <t xml:space="preserve">Mantenimiento mecanizado Llapa - San Miguel  </t>
  </si>
  <si>
    <t>Mantenimiento mecanizado DV. Pencayo - San Gregorio</t>
  </si>
  <si>
    <t>Mantenimiento mecanizado San Gregorio - San Martin - Ld La Libertad</t>
  </si>
  <si>
    <t>Mantenimiento mecanizado La Palma - Emp. PE - 3N (Chota)</t>
  </si>
  <si>
    <t>Mantenimiento mecanizado Tongod - Catiilluc . Emp. CA - 100 (El Empalme)</t>
  </si>
  <si>
    <t>Mantenimiento mecanizado Emp. PE - 3N (Cutervo) - Chigrip</t>
  </si>
  <si>
    <t>Mantenimiento mecanizado Santa Cruz - La Laguna - Tongod</t>
  </si>
  <si>
    <t>Mantenimiento Mecanizado Emp.EP-3N(Pomabamba)-Chuquibamba-Araqueda-Corralpampas-Sector Cocos</t>
  </si>
  <si>
    <t>Atención de Emergencias</t>
  </si>
  <si>
    <t>Intervención</t>
  </si>
  <si>
    <t>Mantenimiento Periódico</t>
  </si>
  <si>
    <t>Elaboración de Estudios de Mantenimiento Periódico</t>
  </si>
  <si>
    <t>Mantenimiento Periódico Bambamarca - La Paccha</t>
  </si>
  <si>
    <t xml:space="preserve">Acciones de Supervisión (Supervisión Estudios Mantenimiento Periódico) </t>
  </si>
  <si>
    <t>Mantenimiento Periódico Chota - La Palma - Conchán - Chigrip</t>
  </si>
  <si>
    <t>Mantenimiento Periódico San Pedro - La Palma</t>
  </si>
  <si>
    <t>Supervision de mantenimiento periodico San Pedro - La Palma</t>
  </si>
  <si>
    <t>Mantenimiento Periódico Cruz Grande - Guzmango</t>
  </si>
  <si>
    <t>Circulación Terrestre - Actividades</t>
  </si>
  <si>
    <t>Capacitación en seguridad vial a conductores infractores</t>
  </si>
  <si>
    <t>Conductor Capacitado</t>
  </si>
  <si>
    <t>Campañas de sensibilización a la comunidad sobre seguridad y educacion vial</t>
  </si>
  <si>
    <t>Capacitación a usuarios de las vías en temas de educacion en seguridad  vial</t>
  </si>
  <si>
    <t>Fiscalización al servicio de transporte terrestre de personas</t>
  </si>
  <si>
    <t xml:space="preserve">Fiscalización al servicio de transporte terrestre de personas-Jaén </t>
  </si>
  <si>
    <t>Jaen</t>
  </si>
  <si>
    <t>Emisión de licencias de conducir Clase A</t>
  </si>
  <si>
    <t>Licencia Otorgada</t>
  </si>
  <si>
    <t>Emisión de licencias de conducir Clase A-Jaén</t>
  </si>
  <si>
    <t>Otorgamiento de autorización por la autoridad competente para el transporte terrestre de pasajeros</t>
  </si>
  <si>
    <t>Otorgamiento de autorización por la autoridad competente para el transporte terrestre de pasajeros - Jaén</t>
  </si>
  <si>
    <t>Detección de puntos negros o tramos de concentración de accidentes</t>
  </si>
  <si>
    <t>Acciones     Administrativas</t>
  </si>
  <si>
    <t>Tratamiento de casos de personas privada de su libertad</t>
  </si>
  <si>
    <t>Servicio de alquiler de maquinaria agrícola (Tractores Yanmar y Shangai )</t>
  </si>
  <si>
    <t>Supervisión de maquinaria en Agencias Agrarias y Sede Regional -DRAC.</t>
  </si>
  <si>
    <t>Promoción de la producción (Forestación y reforestación) de especies forestales en la Región Cajamarca (Pino, Eucalipto, taya y ciprés)</t>
  </si>
  <si>
    <t>Oficina de Asesoría Jurídica</t>
  </si>
  <si>
    <t xml:space="preserve">Comités de base. </t>
  </si>
  <si>
    <t>T/ vendidos</t>
  </si>
  <si>
    <t>Proyecto: Mejoramiento de la Provisión de Servicios Agrarios de la DRAC.</t>
  </si>
  <si>
    <t xml:space="preserve">Componente 1:Adecuadas Capacidades para generar una eficiente Planificación. </t>
  </si>
  <si>
    <t xml:space="preserve">Componente 2: Adecuadas Capacidades para el monitoreo y Evaluación de los Servicios. </t>
  </si>
  <si>
    <t>Componente3: Adecuadas condiciones físicas y tecnólogicas de la DRAC.</t>
  </si>
  <si>
    <t>Componente 4: Adecuadas Capacidades del personal para promover la Competitividad en los productores agrarios.</t>
  </si>
  <si>
    <t xml:space="preserve">Componente 5:  Fortalecimiento de la Asociatividad de los pequeños productores desde las Agencias Agrarias. </t>
  </si>
  <si>
    <t>Administración y Gestión del Proyecto</t>
  </si>
  <si>
    <t>Proyecto: Control Integrado de la Distomatosis Hepática en la Región Cajamarca.</t>
  </si>
  <si>
    <t>Elaboración del Manual de Capacitación sobre Metodología de Limpieza de Canales.</t>
  </si>
  <si>
    <t>Asistencia Técnica en Limpieza y Perfilado de Canales</t>
  </si>
  <si>
    <t>Unidad Ganadera/Taller</t>
  </si>
  <si>
    <t>Calendarización Masiva en Animales de un Sistema de Dosificación.</t>
  </si>
  <si>
    <t>Implementación del Sistema de Dosificación.</t>
  </si>
  <si>
    <t>Implementación de un Sistema de Información GIS.</t>
  </si>
  <si>
    <t>Identificación Única de Ganado Bovino mediante aretado y/o microchips.</t>
  </si>
  <si>
    <t>Vigilancia en los Centros de Beneficio de la Región.</t>
  </si>
  <si>
    <t>Implementación de pruebas diagnósticas estandarizadas de F.H. En Humanos para el monitoreo</t>
  </si>
  <si>
    <t>Implementación de una Red de Vigilancia Epidemiológica Integral.</t>
  </si>
  <si>
    <t>Red de Vigilancia</t>
  </si>
  <si>
    <t>Comunicación Adecuada a la Población.</t>
  </si>
  <si>
    <t>Proyecto: Mejoramiento de la cadena productiva de cultivos andinos, quinua, haba y chocho en las provincias de Cajabamba, San Marcos, Cajamarca, Celendín, Hualgayoc, Chota y San Pablo</t>
  </si>
  <si>
    <t>Perfil y Factibilidad</t>
  </si>
  <si>
    <t xml:space="preserve">Hectáreas Instalación de pastos </t>
  </si>
  <si>
    <t>1 Planeamiento y Presupuesto</t>
  </si>
  <si>
    <t>2 Producción y Difusión de Información Estadística</t>
  </si>
  <si>
    <t>3 Gestión Administrativa</t>
  </si>
  <si>
    <t>3.6.1</t>
  </si>
  <si>
    <t>3.6.2</t>
  </si>
  <si>
    <t>Promoción y Protección de los recursos Naturales</t>
  </si>
  <si>
    <t>Formalización de Predios Rurales</t>
  </si>
  <si>
    <t>Promoción de la Competitividad Agraria</t>
  </si>
  <si>
    <t>Formulación del Plan Operativo</t>
  </si>
  <si>
    <t>Evaluación del Plan Operativo</t>
  </si>
  <si>
    <t>5.000003: Gestión Administrativa</t>
  </si>
  <si>
    <t>Manejo de fondos de ingresos y gastos</t>
  </si>
  <si>
    <t>Alquiler de Maquinaria Agrícola</t>
  </si>
  <si>
    <t>Actualización del inventario físico patrimonial, consolidado.</t>
  </si>
  <si>
    <t>Control de asistencia de personal</t>
  </si>
  <si>
    <t>5.001052: Producción y Difusión de la Información Estadística</t>
  </si>
  <si>
    <t>Compilación, consolidación y análisis  de información estadística agraria.</t>
  </si>
  <si>
    <t xml:space="preserve">Aplicación de encuestas en mercados, intenciones de siembra, UEPPIs, Stock de arroz y Empresas Agroindustriales, Monitoreo de la Estadística Agraria. </t>
  </si>
  <si>
    <t xml:space="preserve">Difusión y Desarrollo de eventos de capacitación para el uso y aprovechamiento de la Información Estadística Agraria.  </t>
  </si>
  <si>
    <t>Elaboración de costos de producción de cultivos</t>
  </si>
  <si>
    <t>Implementación y administración del centro de información.</t>
  </si>
  <si>
    <t>5.001081: Promoción del Desarrollo Productivo Agrario</t>
  </si>
  <si>
    <t xml:space="preserve">Conducción y/o participación de espacios de coordinación, concertación a nivel de coorredor económico y/o provincia </t>
  </si>
  <si>
    <t>Identificación y propuesta de proyectos productivos y de inversión en el sector agrario</t>
  </si>
  <si>
    <t>Gestión y participación en actividades de promoción agraria y seguridad alimentaria</t>
  </si>
  <si>
    <t xml:space="preserve">Participación en el comité de defensa civil </t>
  </si>
  <si>
    <t>Participación en programas sociales con énfasis en la actividad agraria</t>
  </si>
  <si>
    <t>Expedición de Constancias a Productores Agrarios</t>
  </si>
  <si>
    <t xml:space="preserve">5.001067: Promoción de la Competitividad Agraria </t>
  </si>
  <si>
    <t>FASE DE ORGANIZACIÓN</t>
  </si>
  <si>
    <t>Promoción  de la asociatividad con gestión empresarial y enfoque territorial para conformación de cooperativas</t>
  </si>
  <si>
    <t>5.1.1</t>
  </si>
  <si>
    <t>5.1.2</t>
  </si>
  <si>
    <t xml:space="preserve"> Conformación de Nuevas Organizaciones de Productores Agropecuarios (OPAs).</t>
  </si>
  <si>
    <t>5.1.3</t>
  </si>
  <si>
    <t xml:space="preserve"> Elaboración y Actualización de Registro de Oraganización de Productores Agropecuarios (OPAs)</t>
  </si>
  <si>
    <t>FASE DE PRODUCCIÓN</t>
  </si>
  <si>
    <t>Promoción del Diálogo  y   la Concertación Público - Privada</t>
  </si>
  <si>
    <t>5.2.1</t>
  </si>
  <si>
    <t xml:space="preserve">Acuerdos suscritos entre productores y proveedores de bienes y servicios públicos y privados </t>
  </si>
  <si>
    <t>5.2.2</t>
  </si>
  <si>
    <t>Planificar, promover y concertar con el sector público y privado la elaboración e implementación de Planes de negocio (Agroideas, Innovate Perú)</t>
  </si>
  <si>
    <t>5.2.3</t>
  </si>
  <si>
    <t>Inventario por producto, por productor y por organización/Agencia Agraria</t>
  </si>
  <si>
    <t>Promoción para la implementación de buenas prácticas agropecuarias en cadenas productivas.</t>
  </si>
  <si>
    <t>FASE DE COSECHA,  POST COSECHA Y ACOPIO</t>
  </si>
  <si>
    <t>5.4.1</t>
  </si>
  <si>
    <t xml:space="preserve">Socializar  las normas técnicas  cosecha  y post cosecha </t>
  </si>
  <si>
    <t>5.4.2</t>
  </si>
  <si>
    <t>Promover la calidad y estandar de producto</t>
  </si>
  <si>
    <t>5.4.3</t>
  </si>
  <si>
    <t>Promover y facilitar  el acopio organizado</t>
  </si>
  <si>
    <t>FASE DE COMERCIALIZACIÓN</t>
  </si>
  <si>
    <t>Promover eventos de fortalecimiento de capacidades en comercilización de productos orientados al mercado, dirigido a delegados y los socios de las organizaciones de productores agropecuarios.</t>
  </si>
  <si>
    <t>FASE DE CERTIFICACIÓN</t>
  </si>
  <si>
    <t>Promover y facilitar las normas y criterios de certificación de productos agropecuarios</t>
  </si>
  <si>
    <t>5.001109 : PROMOCIÓN Y PROTECCIÓN DE LOS RECURSOS NATURALES</t>
  </si>
  <si>
    <t>Sensibilización y capacitación,  en materia  Forestal y de Fauna Silvestre</t>
  </si>
  <si>
    <t>Producción y promoción de especies: forestales, frutales, industriales y nativas</t>
  </si>
  <si>
    <t>Producción y promoción (Forestación y reforestación) de especies forestales en la Region Cajamarca (Pino, Eucalipto, taya y cipres)</t>
  </si>
  <si>
    <t>Producción y promoción  de frutales (palta, chirimoya, granadilla, lucuma, mango)</t>
  </si>
  <si>
    <t>Producción y promoción  de especies industriales (café, cacao)</t>
  </si>
  <si>
    <t>Producción y promoción  de plantas nativas ( capulí, alizo, sauce y molle)</t>
  </si>
  <si>
    <t>Promoción para la conservación y aprovechamiento sostenible de Recursos Forestales y de Fauna Silvestre</t>
  </si>
  <si>
    <t>Otorgamiento de guías de transporte forestal y de Fauna Silvestre (a excepción de especímenes provenientes de caza deportiva)</t>
  </si>
  <si>
    <t>5.000776: FORMALIZACION  DE PREDIOS RURALES</t>
  </si>
  <si>
    <t>Expedición de Constancia de Posesión con fines de formalización de propiedad rural.</t>
  </si>
  <si>
    <t>Inspecciones oculares con fines de formalización de la propiedad rural</t>
  </si>
  <si>
    <t>Documento de evaluación</t>
  </si>
  <si>
    <t>Horas Máquina</t>
  </si>
  <si>
    <t>Monto captado (S/.)</t>
  </si>
  <si>
    <t>Usuarios Atendidos</t>
  </si>
  <si>
    <t>Has. Atendidas</t>
  </si>
  <si>
    <t>Reporte de asistencia</t>
  </si>
  <si>
    <t>Reporte Técnico</t>
  </si>
  <si>
    <t>Visitas</t>
  </si>
  <si>
    <t>Encuesta Aplicadas</t>
  </si>
  <si>
    <t>Espacios Radiales</t>
  </si>
  <si>
    <t>Reportes de costos de producción</t>
  </si>
  <si>
    <t>Centro de Información funcionando</t>
  </si>
  <si>
    <t>Comité de Gestión Agraria operativo</t>
  </si>
  <si>
    <t>Acuerdos implementados</t>
  </si>
  <si>
    <t>Propuestas de convenios</t>
  </si>
  <si>
    <t>Participación en el Comité de Coordinación de Corredor Económico</t>
  </si>
  <si>
    <t>Ficha de Idea de proyecto</t>
  </si>
  <si>
    <t xml:space="preserve">Eventos </t>
  </si>
  <si>
    <t>Boletín de Seguro Agrario</t>
  </si>
  <si>
    <t>Spot de Seguro Agrario</t>
  </si>
  <si>
    <t>Documento de propuesta</t>
  </si>
  <si>
    <t xml:space="preserve">Instalación de biohuertos </t>
  </si>
  <si>
    <t>Constancia/Certificación</t>
  </si>
  <si>
    <t>Talleres de Capacitación</t>
  </si>
  <si>
    <t>Socios capacitados</t>
  </si>
  <si>
    <t>Organización de Productores Agropecuarios</t>
  </si>
  <si>
    <t>Cooperativas conformadas</t>
  </si>
  <si>
    <t>Talleres de sensibilización</t>
  </si>
  <si>
    <t>OPAs, conformadas</t>
  </si>
  <si>
    <t>Espacios de
 concertación</t>
  </si>
  <si>
    <t xml:space="preserve">Acuerdos </t>
  </si>
  <si>
    <t>Plan de negocio</t>
  </si>
  <si>
    <t>Parcelas y/o Módulo Demostrativos/AA/OPAs.</t>
  </si>
  <si>
    <t>Toneladas acopiadas</t>
  </si>
  <si>
    <t>TM</t>
  </si>
  <si>
    <t xml:space="preserve">Valor  S/.                   </t>
  </si>
  <si>
    <t>Socios</t>
  </si>
  <si>
    <t>Delegados capacitados</t>
  </si>
  <si>
    <t>Taller de Capacitación</t>
  </si>
  <si>
    <t>Socios informados</t>
  </si>
  <si>
    <t xml:space="preserve">Talleres de capacitación </t>
  </si>
  <si>
    <t>Guías</t>
  </si>
  <si>
    <t>Constancias</t>
  </si>
  <si>
    <t>AGENCIAS AGRARIAS</t>
  </si>
  <si>
    <r>
      <rPr>
        <sz val="10"/>
        <color indexed="8"/>
        <rFont val="Calibri"/>
        <family val="2"/>
        <scheme val="minor"/>
      </rPr>
      <t xml:space="preserve"> </t>
    </r>
    <r>
      <rPr>
        <b/>
        <sz val="10"/>
        <color indexed="8"/>
        <rFont val="Calibri"/>
        <family val="2"/>
        <scheme val="minor"/>
      </rPr>
      <t>Fomento de la gestion de la calidad de producto y proceso de producción con las organizaciones/AA.</t>
    </r>
  </si>
  <si>
    <t>Mejoramiento del servicio de agua para riego en los sectores de Carniche Bajo, Carniche Alto  y Huanabal, distrito de Llama, provincia de Chota. Departamento de Cajamarca</t>
  </si>
  <si>
    <t xml:space="preserve"> Fortalecimiento organizacional de los productores agropecuarios - OPAs, (Cooperativas, Comités de Base (CB), Asociaciones, etc.)</t>
  </si>
  <si>
    <t>e.- Afiches Temáticos</t>
  </si>
  <si>
    <t>f.-  Seguimiento a la Economía Regional</t>
  </si>
  <si>
    <t>c.- Cursos de asesoría en búsqueda de empleo (ABE)</t>
  </si>
  <si>
    <t>RENECOSUC - Registro Nac. de Empresas Contratistas y Sub Contratistas de Construcción Civil</t>
  </si>
  <si>
    <t>Implementación de botiquín veterinario</t>
  </si>
  <si>
    <t>Formulación de Planes, Memoria, Convenios institucionales, Actualización de Documentos de Gestión</t>
  </si>
  <si>
    <t>Autorización</t>
  </si>
  <si>
    <t>Ml gavión tipo caja</t>
  </si>
  <si>
    <t>Construcción nuevo mercado modelo de San Ignacio distrito de San Ignacio, provincia de San Ignacio</t>
  </si>
  <si>
    <t>Incremento en la Productividad y Mejora de la Calidad de Cafés Orgánicos, Asociación Bosque y Agua, distritos de Colasay y Pomahuaca, Jaén, Cajamarca.</t>
  </si>
  <si>
    <t xml:space="preserve">Incremento en la productividad de café, Asociación San Ignacio APESI, distrito de San Ignacio, San Ignacio – Cajamarca.  </t>
  </si>
  <si>
    <t xml:space="preserve">Incremento en la Productividad y Mejora de la Calidad de Cafés Orgánicas, Asociación Alto Zaña, Distrito La Florida, San Miguel, Cajamarca. </t>
  </si>
  <si>
    <t xml:space="preserve">Incremento en La Productividad de Café, Asociación Alto Marañón, Distrito de Bellavista, Jaén, Cajamarca. </t>
  </si>
  <si>
    <t>Incremento de la productividad de cultivo del arroz en el centro poblado del Salitre, distrito Tantarica, Contumazá, Cajamarca</t>
  </si>
  <si>
    <t>Incremento de la producción y la calidad física del café,Cooperativa Agraria cuenca el Llaucano,distrito de Paccha, Chota, Cajamarca</t>
  </si>
  <si>
    <t>Redes Primarias 22 9 13 2 Kv, Secundarias 440 220 V Y Conexiones Domiciliarias Caseríos de El Llantén, Zognad Bajo, Nuevo Progreso, El Lirio y Chucllapampa - Tramo 2</t>
  </si>
  <si>
    <t>Mejoramiento del sistema de riego Tuñad Hualabamba, caseríos Chonta Baja, Tuñad, Gigante, Hualabamba, distrito de San Bernardino, provincia de San Pablo, Region Cajamarca</t>
  </si>
  <si>
    <t>Mejoramiento de irrigación e instalación de Riego por Aspersión en el Cp. Morán Lirio, Distrito Hualgayoc - Hualgayoc</t>
  </si>
  <si>
    <t>Incremento de la produccción de palto del distrito de San Benito, Región Cajamarca</t>
  </si>
  <si>
    <t>Implementación</t>
  </si>
  <si>
    <t>Mejoramiento de las condiciones de los servicios de educación inicial escolarizaday ampliación de la infraestructura Educativa I.E.S Carlos Matta Rivera del Centro Poblado de Mamabamba Distrito y Provincia de Cutervo - Cajamarca</t>
  </si>
  <si>
    <t xml:space="preserve">DISA Cajamarca, DISA CHOTA, CUTERVO, JAÉN, HOSPITAL JAÉN HOSPITAL CAJAMARCA Hospital SOTO CADENILLAS </t>
  </si>
  <si>
    <t xml:space="preserve">  </t>
  </si>
  <si>
    <t xml:space="preserve">Contrato Administrativo de servicios y contribuciones a Essalud </t>
  </si>
  <si>
    <t>Estudios de pre inversión: Fortalecimiento de las cadenas productivas en el distrito Cajamarca</t>
  </si>
  <si>
    <t>Estudios de Preinversión:Ampliación de Infraestructura</t>
  </si>
  <si>
    <t>Estudios de preinversión</t>
  </si>
  <si>
    <t>Elaboración de expedientes técnicos</t>
  </si>
  <si>
    <t>UNIDAD FORMULADORA INFRAESTRUCTURA</t>
  </si>
  <si>
    <t>Mantenimiento de infraestructura pública</t>
  </si>
  <si>
    <t xml:space="preserve">SEDE GERENCIA REGIONAL DE INFRAESTRUCTURA </t>
  </si>
  <si>
    <t>Construcción carretera Shirac  Cañapata Caruillo, distrito José Manuel Quiróz San Marcos Cajamarca</t>
  </si>
  <si>
    <t>Equipamiento</t>
  </si>
  <si>
    <t>Reforestación y otras estrategias para la restauración de ámbitos degradados en ANP</t>
  </si>
  <si>
    <t>EXPEDIENTES TÉCNICOS - DESARROLLO ECONÓMICO</t>
  </si>
  <si>
    <t>EXPEDIENTES TÉCNICOS</t>
  </si>
  <si>
    <t>ACTIVIDAD</t>
  </si>
  <si>
    <t>GERENCIA REGIONAL DE DESARROLLO ECONÓMICO</t>
  </si>
  <si>
    <t xml:space="preserve">PROYECTOS </t>
  </si>
  <si>
    <t xml:space="preserve">GERENCIA  REGIONAL DE AGRICULTURA </t>
  </si>
  <si>
    <t>Familia en zonas de riesgo informada que realizan prácticas higiénicas sanitarias para prevenir las enfermedades no transmisibles (mental, bucal, ocular, metales pesados, hipertensión arterial y diabetes mellitus)</t>
  </si>
  <si>
    <t xml:space="preserve">Gestión permanente: Respuesto y accesorios, papelería en general, útiles y materiale de oficina, Libros, Diarios, Revistas y otros bienes de impresión, Pasajes y Gastos de Transporte,Viáticos y asignaciones por comisiones de servicio, Servicios de publicidad, Gastos notariales, Otros seguros de bienes muebles e inmuebles,Otros servicios similares. </t>
  </si>
  <si>
    <t>PROYECTO GERENCIA SUB REGIONAL CHOTA</t>
  </si>
  <si>
    <t>Bpalto</t>
  </si>
  <si>
    <t>Construccion del sistema de riego localizado, embalse El Sauce y Mejoramiento de Infraestructura de riego en la Cuenca de la Quebrada El Palmo del Distrito de San Felipe Jaén - Cajamarca</t>
  </si>
  <si>
    <t>Desarrollo de la Promoción Escolar Cultura y Deporte</t>
  </si>
  <si>
    <t>Estudiantes</t>
  </si>
  <si>
    <t>Logros de aprendizaje en las áreas de comunicacion integral y lógico matemático en las instituciones educativas focalizadas del quintil 1 de la educación básica inicial en las provincias de Cajamarca, Celendín, Hualgayoc y San Marcos region Cajamarca</t>
  </si>
  <si>
    <t>Logros de aprendizaje en las áreas de comunicación integral y lógico matemático, en las instituciones educativas focalizadas del quintil 1, de la educacion básica, primaria, en las provincias de Chota, Cutervo y Santa Cruz, región Cajamarca</t>
  </si>
  <si>
    <t>Logros de aprendizaje en las áreas de comunicación integral y lógico matemático, en las instituciones educativas focalizadas del quintil 1, de la educación básica, primaria, en las provincias de Chota, Cutervo y Santa Cruz, región Cajamarca</t>
  </si>
  <si>
    <t>Logros de aprendizaje en las áreas de comunicación integral y lógico matemático, en las instituciones educativas focalizadas del quintil 1, de la educación básica, inicial, en las provincias de Jaén y San Ignacio, región Cajamarca</t>
  </si>
  <si>
    <t>Logros de aprendizaje en las áreas de comunicación integral y lógico matemático, en las I.E. focalizadas del quintil 1, de la educación básica, inicial, en las provincias de San Miguel, San Pablo, Contumazá y Cajabamba, región Cajamarca</t>
  </si>
  <si>
    <t>Logros de aprendizaje en las áreas de comunicacion integral y lógico matemático, en las I.E. focalizadas del quintil 1, de la educación básica, inicial, en las provincias de San Miguel, San Pablo, Contumazá y Cajabamba, región Cajamarca</t>
  </si>
  <si>
    <t>Logros de aprendizaje en las áreas de comunicación integral y lógico matemático, en las I.E. focalizadas del quintil 1, de la educación básica, primaria, en las provincias de San Miguel, San Pablo, Contumazá y Cajabamba, región Cajamarca</t>
  </si>
  <si>
    <t>Logros de aprendizaje en las áreas de comunicacion integral y lógico matemático, en las instituciones educativas focalizadas del quintil 1, de la educación básica, primaria, en las provincias de Jaén y San Ignacio, región Cajamarca</t>
  </si>
  <si>
    <t>Logros de aprendizaje en las áreas de comunicación integral y lógico matemático, en las I.E. focalizadas del quintil 1 de la educación básica, primaria, en las provincias de Cajamarca, Celendin, Hualgayoc y San Marcos, región Cajamarca</t>
  </si>
  <si>
    <t>Logros de aprendizaje en las áreas de comunicación integral y lógico matemático en las instituciones educativas focalizadas del quintil 1, de la educacion básica, inicial en las provincias de Santa Cruz, Chota y Cutervo, región Cajamarca</t>
  </si>
  <si>
    <t>Logros de aprendizaje en las áreas de comunicación integral y lógico matemático, en las instituciones educativas focalizadas del quintil 1, de la educacion básica, primaria, en las provincias de Jaén y San Ignacio, región Cajamarca</t>
  </si>
  <si>
    <t>DIRECCIÓN REGIONAL DE EDUCACIÓN CAJAMARCA</t>
  </si>
  <si>
    <t>Instalación del sistema eléctrico ruralales de las localidades de Saldabamba Bajo, Pilcaymarca y Picacho distrito de Cachachi provincia Cajabamba - Cajamarca</t>
  </si>
  <si>
    <t>Instalación del sistema eléctrico rural de las localidades Santa Luisa, Moyán Bajo y San Francisco distrito de Cachachi provincia Cajabamba - Cajamarca</t>
  </si>
  <si>
    <t>Instalación del Sistema eléctrico rural de las localidades campamento Liclipampa, Condorcucho, Pampatayos, San Antonio y Siguis distrito de Cachachi provincia Cajabamba - Cajamarca</t>
  </si>
  <si>
    <t>Instalación del sistema eléctrico rural de las localidades Chingol, Pacay, Shirac y Saldabamba centro distrito de Cachachi provincia Cajabamba - Cajamarca</t>
  </si>
  <si>
    <t>Instalación del sistema eléctrico rural de las localidades San Luis, San Pedro, Malvas, Cuchillas y Saldabamba Alto distrito de Cachachi provincia Cajabamba - Cajamarca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</si>
</sst>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64" formatCode="#,##0.0"/>
    <numFmt numFmtId="165" formatCode="0.0"/>
    <numFmt numFmtId="166" formatCode="0.000"/>
    <numFmt numFmtId="167" formatCode="#,##0_ ;[Red]\-#,##0\ "/>
    <numFmt numFmtId="168" formatCode="#,##0.00_ ;[Red]\-#,##0.00\ "/>
    <numFmt numFmtId="169" formatCode="[$-280A]#,##0"/>
    <numFmt numFmtId="170" formatCode="[$-280A]#,##0.00"/>
    <numFmt numFmtId="171" formatCode="#,##0_ ;\-#,##0\ "/>
    <numFmt numFmtId="172" formatCode="#,##0.00_ ;\-#,##0.00\ "/>
    <numFmt numFmtId="173" formatCode="#,##0.000"/>
    <numFmt numFmtId="174" formatCode="_ * #,##0.0000_ ;_ * \-#,##0.0000_ ;_ * &quot;-&quot;??_ ;_ @_ "/>
    <numFmt numFmtId="175" formatCode="#,##0.00;[Red]#,##0.00"/>
    <numFmt numFmtId="176" formatCode="#,##0;[Red]#,##0"/>
    <numFmt numFmtId="177" formatCode="_ * #,##0_ ;_ * \-#,##0_ ;_ * &quot;-&quot;??_ ;_ @_ "/>
    <numFmt numFmtId="178" formatCode="#,##0.0000"/>
  </numFmts>
  <fonts count="61"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Arial"/>
      <family val="2"/>
    </font>
    <font>
      <sz val="8"/>
      <name val="Arial Narrow"/>
      <family val="2"/>
    </font>
    <font>
      <sz val="9"/>
      <color theme="2" tint="-0.499984740745262"/>
      <name val="Arial"/>
      <family val="2"/>
    </font>
    <font>
      <b/>
      <sz val="10"/>
      <color rgb="FFC00000"/>
      <name val="Calibri"/>
      <family val="2"/>
      <scheme val="minor"/>
    </font>
    <font>
      <b/>
      <sz val="10"/>
      <color rgb="FF0070C0"/>
      <name val="Calibri"/>
      <family val="2"/>
      <scheme val="minor"/>
    </font>
    <font>
      <b/>
      <sz val="10"/>
      <color indexed="8"/>
      <name val="Calibri"/>
      <family val="2"/>
      <scheme val="minor"/>
    </font>
    <font>
      <sz val="10"/>
      <color indexed="8"/>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sz val="10"/>
      <color rgb="FF0070C0"/>
      <name val="Calibri"/>
      <family val="2"/>
      <scheme val="minor"/>
    </font>
    <font>
      <sz val="8"/>
      <color theme="1"/>
      <name val="Calibri"/>
      <family val="2"/>
      <scheme val="minor"/>
    </font>
    <font>
      <b/>
      <sz val="10"/>
      <color rgb="FFFF0000"/>
      <name val="Calibri"/>
      <family val="2"/>
      <scheme val="minor"/>
    </font>
    <font>
      <sz val="10"/>
      <color rgb="FF002060"/>
      <name val="Calibri"/>
      <family val="2"/>
      <scheme val="minor"/>
    </font>
    <font>
      <b/>
      <sz val="10"/>
      <color rgb="FF002060"/>
      <name val="Calibri"/>
      <family val="2"/>
      <scheme val="minor"/>
    </font>
    <font>
      <b/>
      <sz val="10"/>
      <color rgb="FF000000"/>
      <name val="Calibri"/>
      <family val="2"/>
      <scheme val="minor"/>
    </font>
    <font>
      <sz val="11"/>
      <color indexed="8"/>
      <name val="Calibri"/>
      <family val="2"/>
    </font>
    <font>
      <sz val="10"/>
      <color rgb="FF7030A0"/>
      <name val="Calibri"/>
      <family val="2"/>
      <scheme val="minor"/>
    </font>
    <font>
      <sz val="10"/>
      <color theme="2" tint="-0.89999084444715716"/>
      <name val="Calibri"/>
      <family val="2"/>
      <scheme val="minor"/>
    </font>
    <font>
      <b/>
      <sz val="10"/>
      <color theme="3" tint="0.39997558519241921"/>
      <name val="Calibri"/>
      <family val="2"/>
      <scheme val="minor"/>
    </font>
    <font>
      <b/>
      <sz val="9"/>
      <color indexed="81"/>
      <name val="Tahoma"/>
      <family val="2"/>
    </font>
    <font>
      <sz val="9"/>
      <color indexed="81"/>
      <name val="Tahoma"/>
      <family val="2"/>
    </font>
    <font>
      <b/>
      <sz val="10"/>
      <color rgb="FF7030A0"/>
      <name val="Calibri"/>
      <family val="2"/>
      <scheme val="minor"/>
    </font>
    <font>
      <sz val="10"/>
      <name val="Arial"/>
      <family val="2"/>
      <charset val="1"/>
    </font>
    <font>
      <sz val="9"/>
      <color theme="1"/>
      <name val="Calibri"/>
      <family val="2"/>
      <scheme val="minor"/>
    </font>
    <font>
      <b/>
      <sz val="9"/>
      <color theme="1"/>
      <name val="Calibri"/>
      <family val="2"/>
      <scheme val="minor"/>
    </font>
    <font>
      <sz val="9"/>
      <name val="Calibri"/>
      <family val="2"/>
      <scheme val="minor"/>
    </font>
    <font>
      <b/>
      <sz val="8"/>
      <color rgb="FF000000"/>
      <name val="Calibri"/>
      <family val="2"/>
      <scheme val="minor"/>
    </font>
    <font>
      <b/>
      <sz val="8"/>
      <name val="Calibri"/>
      <family val="2"/>
      <scheme val="minor"/>
    </font>
    <font>
      <sz val="11"/>
      <color rgb="FF000000"/>
      <name val="Arial"/>
      <family val="2"/>
    </font>
    <font>
      <sz val="8"/>
      <color rgb="FF002060"/>
      <name val="Calibri"/>
      <family val="2"/>
      <scheme val="minor"/>
    </font>
    <font>
      <sz val="8"/>
      <name val="Calibri"/>
      <family val="2"/>
      <scheme val="minor"/>
    </font>
    <font>
      <b/>
      <sz val="8"/>
      <color theme="1"/>
      <name val="Calibri"/>
      <family val="2"/>
      <scheme val="minor"/>
    </font>
    <font>
      <b/>
      <sz val="8"/>
      <color rgb="FF002060"/>
      <name val="Calibri"/>
      <family val="2"/>
      <scheme val="minor"/>
    </font>
    <font>
      <b/>
      <sz val="8"/>
      <color rgb="FFC00000"/>
      <name val="Calibri"/>
      <family val="2"/>
      <scheme val="minor"/>
    </font>
    <font>
      <b/>
      <sz val="11"/>
      <name val="Calibri"/>
      <family val="2"/>
      <scheme val="minor"/>
    </font>
    <font>
      <sz val="10"/>
      <color rgb="FFC00000"/>
      <name val="Calibri"/>
      <family val="2"/>
      <scheme val="minor"/>
    </font>
    <font>
      <b/>
      <sz val="10"/>
      <color rgb="FF00B050"/>
      <name val="Calibri"/>
      <family val="2"/>
      <scheme val="minor"/>
    </font>
    <font>
      <b/>
      <sz val="9"/>
      <color rgb="FFC00000"/>
      <name val="Calibri"/>
      <family val="2"/>
      <scheme val="minor"/>
    </font>
    <font>
      <b/>
      <sz val="10"/>
      <color theme="3" tint="-0.499984740745262"/>
      <name val="Calibri"/>
      <family val="2"/>
      <scheme val="minor"/>
    </font>
    <font>
      <sz val="10"/>
      <color theme="3" tint="-0.499984740745262"/>
      <name val="Calibri"/>
      <family val="2"/>
      <scheme val="minor"/>
    </font>
    <font>
      <b/>
      <sz val="10"/>
      <color theme="1"/>
      <name val="Arial"/>
      <family val="2"/>
    </font>
    <font>
      <sz val="8"/>
      <color theme="1"/>
      <name val="Arial"/>
      <family val="2"/>
    </font>
    <font>
      <sz val="10"/>
      <color indexed="8"/>
      <name val="Calibri"/>
      <family val="2"/>
      <charset val="1"/>
    </font>
    <font>
      <sz val="10"/>
      <name val="Calibri"/>
      <family val="2"/>
      <charset val="1"/>
    </font>
    <font>
      <sz val="9"/>
      <color indexed="8"/>
      <name val="Calibri"/>
      <family val="2"/>
      <charset val="1"/>
    </font>
    <font>
      <b/>
      <sz val="12"/>
      <color theme="1"/>
      <name val="Arial"/>
      <family val="2"/>
    </font>
    <font>
      <b/>
      <sz val="12"/>
      <color theme="1"/>
      <name val="Calibri"/>
      <family val="2"/>
      <scheme val="minor"/>
    </font>
    <font>
      <b/>
      <sz val="8"/>
      <color rgb="FFFF3300"/>
      <name val="Calibri"/>
      <family val="2"/>
      <scheme val="minor"/>
    </font>
    <font>
      <b/>
      <sz val="8"/>
      <color rgb="FF3333CC"/>
      <name val="Arial"/>
      <family val="2"/>
    </font>
    <font>
      <sz val="10"/>
      <name val="Calibri"/>
      <family val="2"/>
    </font>
    <font>
      <b/>
      <sz val="10"/>
      <color rgb="FF92D050"/>
      <name val="Calibri"/>
      <family val="2"/>
      <scheme val="minor"/>
    </font>
    <font>
      <b/>
      <sz val="8"/>
      <color indexed="81"/>
      <name val="Tahoma"/>
      <family val="2"/>
    </font>
    <font>
      <sz val="8"/>
      <color indexed="81"/>
      <name val="Tahoma"/>
      <family val="2"/>
    </font>
    <font>
      <b/>
      <sz val="9"/>
      <name val="Calibri"/>
      <family val="2"/>
      <scheme val="minor"/>
    </font>
    <font>
      <b/>
      <i/>
      <sz val="10"/>
      <color theme="3" tint="0.39997558519241921"/>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0"/>
        <bgColor indexed="49"/>
      </patternFill>
    </fill>
    <fill>
      <patternFill patternType="solid">
        <fgColor theme="0"/>
        <bgColor rgb="FFCCFFFF"/>
      </patternFill>
    </fill>
    <fill>
      <patternFill patternType="solid">
        <fgColor theme="2"/>
        <bgColor indexed="64"/>
      </patternFill>
    </fill>
    <fill>
      <patternFill patternType="solid">
        <fgColor theme="3" tint="0.79998168889431442"/>
        <bgColor indexed="64"/>
      </patternFill>
    </fill>
    <fill>
      <patternFill patternType="solid">
        <fgColor theme="0"/>
        <bgColor rgb="FFFFFFFF"/>
      </patternFill>
    </fill>
    <fill>
      <patternFill patternType="solid">
        <fgColor theme="0"/>
        <bgColor rgb="FF00B050"/>
      </patternFill>
    </fill>
    <fill>
      <patternFill patternType="solid">
        <fgColor theme="3" tint="0.79998168889431442"/>
        <bgColor rgb="FFFFFFFF"/>
      </patternFill>
    </fill>
    <fill>
      <patternFill patternType="solid">
        <fgColor theme="3" tint="0.79998168889431442"/>
        <bgColor rgb="FFEEECE1"/>
      </patternFill>
    </fill>
    <fill>
      <patternFill patternType="solid">
        <fgColor theme="0"/>
        <bgColor rgb="FFEEECE1"/>
      </patternFill>
    </fill>
    <fill>
      <patternFill patternType="solid">
        <fgColor theme="3" tint="0.79998168889431442"/>
        <bgColor rgb="FF00B050"/>
      </patternFill>
    </fill>
    <fill>
      <patternFill patternType="solid">
        <fgColor theme="0" tint="-4.9989318521683403E-2"/>
        <bgColor indexed="64"/>
      </patternFill>
    </fill>
    <fill>
      <patternFill patternType="solid">
        <fgColor rgb="FFFFFF00"/>
        <bgColor indexed="64"/>
      </patternFill>
    </fill>
    <fill>
      <patternFill patternType="solid">
        <fgColor rgb="FFFFFF00"/>
        <bgColor rgb="FF00B050"/>
      </patternFill>
    </fill>
    <fill>
      <patternFill patternType="solid">
        <fgColor rgb="FFFFFF00"/>
        <bgColor rgb="FFEEECE1"/>
      </patternFill>
    </fill>
    <fill>
      <patternFill patternType="solid">
        <fgColor theme="2" tint="-0.499984740745262"/>
        <bgColor indexed="64"/>
      </patternFill>
    </fill>
    <fill>
      <patternFill patternType="solid">
        <fgColor theme="0"/>
        <bgColor indexed="23"/>
      </patternFill>
    </fill>
    <fill>
      <patternFill patternType="solid">
        <fgColor theme="0"/>
        <bgColor indexed="41"/>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5">
    <xf numFmtId="0" fontId="0" fillId="0" borderId="0"/>
    <xf numFmtId="0" fontId="5" fillId="0" borderId="0"/>
    <xf numFmtId="0" fontId="6" fillId="0" borderId="0"/>
    <xf numFmtId="49" fontId="7" fillId="0" borderId="12">
      <alignment horizontal="center" vertical="center" wrapText="1"/>
    </xf>
    <xf numFmtId="41"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21" fillId="0" borderId="0"/>
    <xf numFmtId="0" fontId="5" fillId="0" borderId="0"/>
    <xf numFmtId="0" fontId="28" fillId="0" borderId="0"/>
    <xf numFmtId="43" fontId="1" fillId="0" borderId="0" applyFont="0" applyFill="0" applyBorder="0" applyAlignment="0" applyProtection="0"/>
    <xf numFmtId="0" fontId="34" fillId="0" borderId="0"/>
    <xf numFmtId="0" fontId="28" fillId="0" borderId="0"/>
    <xf numFmtId="43" fontId="1" fillId="0" borderId="0" applyFont="0" applyFill="0" applyBorder="0" applyAlignment="0" applyProtection="0"/>
  </cellStyleXfs>
  <cellXfs count="1120">
    <xf numFmtId="0" fontId="0" fillId="0" borderId="0" xfId="0"/>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xf numFmtId="0" fontId="4" fillId="2" borderId="12" xfId="0" applyFont="1" applyFill="1" applyBorder="1" applyAlignment="1">
      <alignment horizontal="center" vertical="center" wrapText="1"/>
    </xf>
    <xf numFmtId="0" fontId="2" fillId="0" borderId="0" xfId="0" applyFont="1" applyFill="1"/>
    <xf numFmtId="0" fontId="2" fillId="0" borderId="0" xfId="0" applyFont="1" applyAlignment="1">
      <alignment horizontal="left"/>
    </xf>
    <xf numFmtId="0" fontId="2" fillId="0" borderId="0" xfId="0" applyFont="1" applyAlignment="1">
      <alignment horizontal="center"/>
    </xf>
    <xf numFmtId="0" fontId="2" fillId="0" borderId="0" xfId="0" applyFont="1" applyAlignment="1"/>
    <xf numFmtId="0" fontId="8" fillId="0" borderId="12" xfId="0" applyFont="1" applyBorder="1" applyAlignment="1">
      <alignment vertical="center"/>
    </xf>
    <xf numFmtId="0" fontId="2" fillId="0" borderId="12" xfId="0" applyFont="1" applyBorder="1"/>
    <xf numFmtId="0" fontId="2" fillId="0" borderId="12" xfId="0" applyFont="1" applyBorder="1" applyAlignment="1">
      <alignment horizontal="left"/>
    </xf>
    <xf numFmtId="0" fontId="3" fillId="3" borderId="12" xfId="0" applyFont="1" applyFill="1" applyBorder="1" applyAlignment="1">
      <alignment horizontal="left" vertical="center" wrapText="1"/>
    </xf>
    <xf numFmtId="0" fontId="2" fillId="3" borderId="12" xfId="0" applyFont="1" applyFill="1" applyBorder="1"/>
    <xf numFmtId="0" fontId="10" fillId="3" borderId="12" xfId="0" applyFont="1" applyFill="1" applyBorder="1" applyAlignment="1">
      <alignment vertical="center" wrapText="1"/>
    </xf>
    <xf numFmtId="0" fontId="11" fillId="3" borderId="12" xfId="0" applyFont="1" applyFill="1" applyBorder="1" applyAlignment="1">
      <alignment horizontal="left" vertical="center" wrapText="1"/>
    </xf>
    <xf numFmtId="3" fontId="2" fillId="3" borderId="12" xfId="0" applyNumberFormat="1" applyFont="1" applyFill="1" applyBorder="1" applyAlignment="1">
      <alignment horizontal="right" vertical="center" indent="1"/>
    </xf>
    <xf numFmtId="0" fontId="4" fillId="3" borderId="12" xfId="0" applyFont="1" applyFill="1" applyBorder="1" applyAlignment="1">
      <alignment vertical="center" wrapText="1"/>
    </xf>
    <xf numFmtId="0" fontId="4" fillId="3" borderId="12"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right" vertical="center" wrapText="1" indent="1"/>
    </xf>
    <xf numFmtId="3" fontId="2" fillId="0" borderId="12" xfId="0" applyNumberFormat="1" applyFont="1" applyFill="1" applyBorder="1" applyAlignment="1">
      <alignment horizontal="right" vertical="center" indent="1"/>
    </xf>
    <xf numFmtId="0" fontId="2" fillId="0" borderId="12" xfId="0" applyFont="1" applyFill="1" applyBorder="1" applyAlignment="1">
      <alignment vertical="center" wrapText="1"/>
    </xf>
    <xf numFmtId="3" fontId="3" fillId="3" borderId="12" xfId="0" applyNumberFormat="1" applyFont="1" applyFill="1" applyBorder="1" applyAlignment="1">
      <alignment horizontal="right" vertical="center" indent="1"/>
    </xf>
    <xf numFmtId="0" fontId="4" fillId="3" borderId="12" xfId="0" applyFont="1" applyFill="1" applyBorder="1" applyAlignment="1">
      <alignment horizontal="right" vertical="center" wrapText="1" indent="1"/>
    </xf>
    <xf numFmtId="0" fontId="4" fillId="0" borderId="12" xfId="0" applyFont="1" applyFill="1" applyBorder="1" applyAlignment="1">
      <alignment vertical="center" wrapText="1"/>
    </xf>
    <xf numFmtId="0" fontId="3" fillId="0" borderId="12" xfId="0" applyFont="1" applyFill="1" applyBorder="1" applyAlignment="1">
      <alignment horizontal="left" vertical="center"/>
    </xf>
    <xf numFmtId="0" fontId="2" fillId="0" borderId="12" xfId="0" applyFont="1" applyFill="1" applyBorder="1" applyAlignment="1">
      <alignment horizontal="right" vertical="center" indent="1"/>
    </xf>
    <xf numFmtId="0" fontId="12" fillId="0" borderId="12" xfId="0" applyFont="1" applyFill="1" applyBorder="1" applyAlignment="1">
      <alignment vertical="center" wrapText="1"/>
    </xf>
    <xf numFmtId="0" fontId="2" fillId="0" borderId="12" xfId="0" applyFont="1" applyFill="1" applyBorder="1" applyAlignment="1">
      <alignment vertical="center"/>
    </xf>
    <xf numFmtId="0" fontId="12" fillId="0" borderId="12" xfId="0" applyFont="1" applyFill="1" applyBorder="1" applyAlignment="1">
      <alignment horizontal="right" vertical="center" wrapText="1" indent="1"/>
    </xf>
    <xf numFmtId="3" fontId="3" fillId="0" borderId="12" xfId="0" applyNumberFormat="1" applyFont="1" applyFill="1" applyBorder="1" applyAlignment="1">
      <alignment horizontal="right" vertical="center" wrapText="1" indent="1"/>
    </xf>
    <xf numFmtId="3" fontId="3" fillId="0" borderId="12" xfId="0" applyNumberFormat="1" applyFont="1" applyFill="1" applyBorder="1" applyAlignment="1">
      <alignment horizontal="right" vertical="center" indent="1"/>
    </xf>
    <xf numFmtId="0" fontId="2" fillId="0" borderId="12" xfId="0" applyFont="1" applyFill="1" applyBorder="1" applyAlignment="1">
      <alignment horizontal="right" vertical="center" wrapText="1" indent="1"/>
    </xf>
    <xf numFmtId="0" fontId="9" fillId="3" borderId="12" xfId="0" applyFont="1" applyFill="1" applyBorder="1" applyAlignment="1">
      <alignment vertical="center" wrapText="1"/>
    </xf>
    <xf numFmtId="0" fontId="2" fillId="3" borderId="12" xfId="0" applyFont="1" applyFill="1" applyBorder="1" applyAlignment="1">
      <alignment horizontal="center" vertical="center"/>
    </xf>
    <xf numFmtId="3" fontId="12" fillId="3" borderId="12" xfId="0" applyNumberFormat="1" applyFont="1" applyFill="1" applyBorder="1" applyAlignment="1">
      <alignment horizontal="right" vertical="center" wrapText="1" indent="1"/>
    </xf>
    <xf numFmtId="3" fontId="2" fillId="3" borderId="12" xfId="0" applyNumberFormat="1" applyFont="1" applyFill="1" applyBorder="1" applyAlignment="1">
      <alignment horizontal="right" vertical="center" wrapText="1" indent="1"/>
    </xf>
    <xf numFmtId="3" fontId="4" fillId="3" borderId="12" xfId="0" applyNumberFormat="1" applyFont="1" applyFill="1" applyBorder="1" applyAlignment="1">
      <alignment horizontal="right" vertical="center" wrapText="1" indent="1"/>
    </xf>
    <xf numFmtId="0" fontId="2" fillId="3" borderId="12" xfId="0" applyFont="1" applyFill="1" applyBorder="1" applyAlignment="1">
      <alignment horizontal="left" vertical="center"/>
    </xf>
    <xf numFmtId="3" fontId="9" fillId="3" borderId="12" xfId="0" applyNumberFormat="1" applyFont="1" applyFill="1" applyBorder="1" applyAlignment="1">
      <alignment horizontal="right" vertical="center" wrapText="1" indent="1"/>
    </xf>
    <xf numFmtId="4" fontId="2" fillId="3" borderId="12" xfId="0" applyNumberFormat="1" applyFont="1" applyFill="1" applyBorder="1" applyAlignment="1">
      <alignment horizontal="right" vertical="center" indent="1"/>
    </xf>
    <xf numFmtId="0" fontId="3" fillId="3" borderId="12" xfId="0" applyFont="1" applyFill="1" applyBorder="1" applyAlignment="1">
      <alignment horizontal="left" vertical="center"/>
    </xf>
    <xf numFmtId="0" fontId="12" fillId="3" borderId="12" xfId="0" applyFont="1" applyFill="1" applyBorder="1" applyAlignment="1">
      <alignment horizontal="center" vertical="center"/>
    </xf>
    <xf numFmtId="3" fontId="3" fillId="3" borderId="12" xfId="0" applyNumberFormat="1" applyFont="1" applyFill="1" applyBorder="1" applyAlignment="1">
      <alignment horizontal="right" vertical="center" wrapText="1" indent="1"/>
    </xf>
    <xf numFmtId="0" fontId="13" fillId="0" borderId="12" xfId="0" applyFont="1" applyFill="1" applyBorder="1" applyAlignment="1">
      <alignment vertical="center"/>
    </xf>
    <xf numFmtId="0" fontId="13" fillId="0" borderId="12" xfId="0" applyFont="1" applyFill="1" applyBorder="1" applyAlignment="1">
      <alignment vertical="center" wrapText="1"/>
    </xf>
    <xf numFmtId="0" fontId="13" fillId="0" borderId="12" xfId="0" applyFont="1" applyFill="1" applyBorder="1" applyAlignment="1">
      <alignment horizontal="left" vertical="center" wrapText="1"/>
    </xf>
    <xf numFmtId="0" fontId="2" fillId="0" borderId="12" xfId="0" applyFont="1" applyFill="1" applyBorder="1" applyAlignment="1">
      <alignment horizontal="right" vertical="center"/>
    </xf>
    <xf numFmtId="0" fontId="13" fillId="0" borderId="12" xfId="0" applyFont="1" applyFill="1" applyBorder="1" applyAlignment="1">
      <alignment horizontal="justify" vertical="center"/>
    </xf>
    <xf numFmtId="0" fontId="20" fillId="0" borderId="12" xfId="0" applyFont="1" applyFill="1" applyBorder="1" applyAlignment="1">
      <alignment vertical="center" wrapText="1"/>
    </xf>
    <xf numFmtId="0" fontId="8" fillId="3" borderId="12" xfId="0" applyFont="1" applyFill="1" applyBorder="1" applyAlignment="1">
      <alignment vertical="center" wrapText="1"/>
    </xf>
    <xf numFmtId="0" fontId="9" fillId="3" borderId="12" xfId="0" applyFont="1" applyFill="1" applyBorder="1" applyAlignment="1">
      <alignment horizontal="left" vertical="center" wrapText="1"/>
    </xf>
    <xf numFmtId="0" fontId="3" fillId="3" borderId="12" xfId="0" applyFont="1" applyFill="1" applyBorder="1" applyAlignment="1">
      <alignment horizontal="center" vertical="center"/>
    </xf>
    <xf numFmtId="0" fontId="19" fillId="3" borderId="12" xfId="0" applyFont="1" applyFill="1" applyBorder="1" applyAlignment="1">
      <alignment horizontal="left" vertical="center" wrapText="1"/>
    </xf>
    <xf numFmtId="0" fontId="3" fillId="0" borderId="12" xfId="0" applyFont="1" applyFill="1" applyBorder="1" applyAlignment="1">
      <alignment vertical="center" wrapText="1"/>
    </xf>
    <xf numFmtId="0" fontId="2" fillId="0" borderId="12" xfId="0"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3" borderId="13" xfId="0" applyFont="1" applyFill="1" applyBorder="1" applyAlignment="1">
      <alignment vertical="center" wrapText="1"/>
    </xf>
    <xf numFmtId="0" fontId="2" fillId="0" borderId="12" xfId="0" applyFont="1" applyFill="1" applyBorder="1" applyAlignment="1">
      <alignment horizontal="left" vertical="center" wrapText="1" indent="1"/>
    </xf>
    <xf numFmtId="0" fontId="2" fillId="0" borderId="2" xfId="0" applyFont="1" applyFill="1" applyBorder="1" applyAlignment="1">
      <alignment horizontal="right" vertical="center" indent="1"/>
    </xf>
    <xf numFmtId="0" fontId="19" fillId="3" borderId="12" xfId="0" applyFont="1" applyFill="1" applyBorder="1" applyAlignment="1">
      <alignment horizontal="right" vertical="center" wrapText="1" indent="1"/>
    </xf>
    <xf numFmtId="0" fontId="2" fillId="3" borderId="12" xfId="0" applyFont="1" applyFill="1" applyBorder="1" applyAlignment="1">
      <alignment horizontal="right" vertical="center" indent="1"/>
    </xf>
    <xf numFmtId="3" fontId="15" fillId="3" borderId="12" xfId="0" applyNumberFormat="1" applyFont="1" applyFill="1" applyBorder="1" applyAlignment="1">
      <alignment horizontal="right" vertical="center" wrapText="1" indent="1"/>
    </xf>
    <xf numFmtId="0" fontId="2" fillId="0" borderId="0" xfId="0" applyFont="1" applyAlignment="1">
      <alignment horizontal="right" indent="1"/>
    </xf>
    <xf numFmtId="0" fontId="2" fillId="0" borderId="3" xfId="0" applyFont="1" applyFill="1" applyBorder="1" applyAlignment="1">
      <alignment horizontal="right" vertical="center" indent="1"/>
    </xf>
    <xf numFmtId="3" fontId="8" fillId="3" borderId="12" xfId="0" applyNumberFormat="1" applyFont="1" applyFill="1" applyBorder="1" applyAlignment="1">
      <alignment horizontal="right" vertical="center" wrapText="1" indent="1"/>
    </xf>
    <xf numFmtId="0" fontId="8" fillId="0" borderId="12" xfId="0" applyFont="1" applyFill="1" applyBorder="1" applyAlignment="1">
      <alignment horizontal="center" vertical="center" wrapText="1"/>
    </xf>
    <xf numFmtId="3" fontId="8" fillId="0" borderId="12" xfId="0" applyNumberFormat="1" applyFont="1" applyFill="1" applyBorder="1" applyAlignment="1">
      <alignment horizontal="right" vertical="center" wrapText="1" indent="1"/>
    </xf>
    <xf numFmtId="0" fontId="4" fillId="0" borderId="12" xfId="0" applyFont="1" applyFill="1" applyBorder="1" applyAlignment="1">
      <alignment horizontal="left" vertical="center"/>
    </xf>
    <xf numFmtId="4" fontId="2" fillId="0" borderId="12" xfId="0" applyNumberFormat="1" applyFont="1" applyFill="1" applyBorder="1" applyAlignment="1">
      <alignment horizontal="right" vertical="center" indent="1"/>
    </xf>
    <xf numFmtId="0" fontId="3" fillId="0" borderId="12" xfId="0" applyFont="1" applyFill="1" applyBorder="1" applyAlignment="1">
      <alignment vertical="center"/>
    </xf>
    <xf numFmtId="0" fontId="2" fillId="0" borderId="12" xfId="0" applyFont="1" applyFill="1" applyBorder="1" applyAlignment="1">
      <alignment horizontal="right" indent="1"/>
    </xf>
    <xf numFmtId="0" fontId="12" fillId="0" borderId="12" xfId="0" applyFont="1" applyFill="1" applyBorder="1" applyAlignment="1">
      <alignment horizontal="right" vertical="center"/>
    </xf>
    <xf numFmtId="0" fontId="24" fillId="3" borderId="13" xfId="0" applyFont="1" applyFill="1" applyBorder="1" applyAlignment="1">
      <alignment vertical="center" wrapText="1"/>
    </xf>
    <xf numFmtId="165" fontId="2" fillId="3" borderId="12" xfId="0" applyNumberFormat="1" applyFont="1" applyFill="1" applyBorder="1" applyAlignment="1">
      <alignment horizontal="right" vertical="center"/>
    </xf>
    <xf numFmtId="0" fontId="12" fillId="0" borderId="12"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24" fillId="3" borderId="12" xfId="0" applyFont="1" applyFill="1" applyBorder="1" applyAlignment="1">
      <alignment vertical="center" wrapText="1"/>
    </xf>
    <xf numFmtId="4" fontId="8" fillId="3" borderId="12" xfId="0" applyNumberFormat="1" applyFont="1" applyFill="1" applyBorder="1" applyAlignment="1">
      <alignment vertical="center" wrapText="1"/>
    </xf>
    <xf numFmtId="4" fontId="8" fillId="3" borderId="12" xfId="0" applyNumberFormat="1" applyFont="1" applyFill="1" applyBorder="1" applyAlignment="1">
      <alignment horizontal="right" vertical="center" wrapText="1" indent="1"/>
    </xf>
    <xf numFmtId="0" fontId="24" fillId="3" borderId="12" xfId="0" applyFont="1" applyFill="1" applyBorder="1" applyAlignment="1">
      <alignment horizontal="center" vertical="center" wrapText="1"/>
    </xf>
    <xf numFmtId="4" fontId="2" fillId="3" borderId="12" xfId="0" applyNumberFormat="1" applyFont="1" applyFill="1" applyBorder="1" applyAlignment="1">
      <alignment horizontal="right" indent="1"/>
    </xf>
    <xf numFmtId="0" fontId="17" fillId="3" borderId="12" xfId="0" applyFont="1" applyFill="1" applyBorder="1" applyAlignment="1">
      <alignment horizontal="left" vertical="center" wrapText="1"/>
    </xf>
    <xf numFmtId="3" fontId="0" fillId="0" borderId="0" xfId="0" applyNumberFormat="1"/>
    <xf numFmtId="0" fontId="9" fillId="0" borderId="12" xfId="0" applyFont="1" applyFill="1" applyBorder="1" applyAlignment="1">
      <alignment vertical="center" wrapText="1"/>
    </xf>
    <xf numFmtId="0" fontId="9" fillId="0" borderId="12" xfId="0" applyFont="1" applyFill="1" applyBorder="1" applyAlignment="1">
      <alignment horizontal="left" vertical="center" wrapText="1"/>
    </xf>
    <xf numFmtId="4" fontId="0" fillId="0" borderId="0" xfId="0" applyNumberFormat="1"/>
    <xf numFmtId="0" fontId="2" fillId="0" borderId="0" xfId="0" applyFont="1" applyBorder="1"/>
    <xf numFmtId="3" fontId="2" fillId="0" borderId="0" xfId="0" applyNumberFormat="1" applyFont="1"/>
    <xf numFmtId="3" fontId="2" fillId="0" borderId="12" xfId="0" applyNumberFormat="1" applyFont="1" applyBorder="1" applyAlignment="1">
      <alignment horizontal="right" vertical="center" wrapText="1" indent="1"/>
    </xf>
    <xf numFmtId="0" fontId="27" fillId="0" borderId="12" xfId="0" applyFont="1" applyFill="1" applyBorder="1" applyAlignment="1">
      <alignment horizontal="center" vertical="center" wrapText="1"/>
    </xf>
    <xf numFmtId="4" fontId="2" fillId="0" borderId="0" xfId="0" applyNumberFormat="1" applyFont="1"/>
    <xf numFmtId="49" fontId="4" fillId="0" borderId="12" xfId="0" applyNumberFormat="1" applyFont="1" applyFill="1" applyBorder="1" applyAlignment="1">
      <alignment horizontal="left" vertical="center"/>
    </xf>
    <xf numFmtId="49" fontId="12"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left" vertical="center"/>
    </xf>
    <xf numFmtId="0" fontId="12" fillId="0" borderId="12" xfId="0" applyFont="1" applyFill="1" applyBorder="1" applyAlignment="1">
      <alignment vertical="center"/>
    </xf>
    <xf numFmtId="49" fontId="3" fillId="0" borderId="12" xfId="0" applyNumberFormat="1" applyFont="1" applyFill="1" applyBorder="1" applyAlignment="1">
      <alignment horizontal="left" vertical="center"/>
    </xf>
    <xf numFmtId="49" fontId="3" fillId="0" borderId="12" xfId="0" applyNumberFormat="1" applyFont="1" applyFill="1" applyBorder="1" applyAlignment="1">
      <alignment vertical="center" wrapText="1"/>
    </xf>
    <xf numFmtId="49" fontId="2" fillId="0" borderId="12" xfId="0" applyNumberFormat="1" applyFont="1" applyFill="1" applyBorder="1" applyAlignment="1">
      <alignment horizontal="right" vertical="center"/>
    </xf>
    <xf numFmtId="0" fontId="20" fillId="0" borderId="12" xfId="0" applyFont="1" applyFill="1" applyBorder="1" applyAlignment="1">
      <alignment horizontal="justify" vertical="center" wrapText="1"/>
    </xf>
    <xf numFmtId="0" fontId="2" fillId="0" borderId="12" xfId="0" applyNumberFormat="1" applyFont="1" applyFill="1" applyBorder="1" applyAlignment="1">
      <alignment horizontal="right" vertical="center"/>
    </xf>
    <xf numFmtId="0" fontId="20" fillId="0" borderId="12" xfId="0" applyFont="1" applyFill="1" applyBorder="1" applyAlignment="1">
      <alignment horizontal="left" vertical="center" wrapText="1"/>
    </xf>
    <xf numFmtId="49" fontId="2" fillId="0" borderId="12" xfId="0" applyNumberFormat="1" applyFont="1" applyFill="1" applyBorder="1" applyAlignment="1">
      <alignment vertical="center" wrapText="1"/>
    </xf>
    <xf numFmtId="0" fontId="13" fillId="0" borderId="12" xfId="0" applyFont="1" applyFill="1" applyBorder="1" applyAlignment="1">
      <alignment horizontal="justify" vertical="center" wrapText="1"/>
    </xf>
    <xf numFmtId="1" fontId="2" fillId="3" borderId="12" xfId="0" applyNumberFormat="1" applyFont="1" applyFill="1" applyBorder="1" applyAlignment="1">
      <alignment horizontal="right" vertical="center" wrapText="1" indent="1"/>
    </xf>
    <xf numFmtId="1" fontId="9" fillId="0" borderId="12" xfId="0" applyNumberFormat="1" applyFont="1" applyFill="1" applyBorder="1" applyAlignment="1">
      <alignment horizontal="right" vertical="center" indent="1"/>
    </xf>
    <xf numFmtId="1" fontId="3" fillId="0" borderId="12" xfId="0" applyNumberFormat="1" applyFont="1" applyFill="1" applyBorder="1" applyAlignment="1">
      <alignment horizontal="right" vertical="center" indent="1"/>
    </xf>
    <xf numFmtId="1" fontId="12" fillId="0" borderId="12" xfId="0" applyNumberFormat="1" applyFont="1" applyFill="1" applyBorder="1" applyAlignment="1">
      <alignment horizontal="right" vertical="center" wrapText="1" indent="1"/>
    </xf>
    <xf numFmtId="0" fontId="12" fillId="0" borderId="12" xfId="0" applyFont="1" applyFill="1" applyBorder="1" applyAlignment="1">
      <alignment horizontal="right" vertical="center" indent="1"/>
    </xf>
    <xf numFmtId="3" fontId="12" fillId="0" borderId="12" xfId="0" applyNumberFormat="1" applyFont="1" applyFill="1" applyBorder="1" applyAlignment="1">
      <alignment horizontal="right" vertical="center" indent="1"/>
    </xf>
    <xf numFmtId="0" fontId="13" fillId="0" borderId="12" xfId="0" applyFont="1" applyFill="1" applyBorder="1" applyAlignment="1">
      <alignment horizontal="right" vertical="center" wrapText="1" indent="1"/>
    </xf>
    <xf numFmtId="49" fontId="2" fillId="0" borderId="12" xfId="0" applyNumberFormat="1" applyFont="1" applyFill="1" applyBorder="1" applyAlignment="1">
      <alignment horizontal="right" vertical="center" indent="1"/>
    </xf>
    <xf numFmtId="0" fontId="4" fillId="0" borderId="12" xfId="0" applyFont="1" applyFill="1" applyBorder="1" applyAlignment="1">
      <alignment horizontal="right" vertical="center" indent="1"/>
    </xf>
    <xf numFmtId="0" fontId="3" fillId="0" borderId="12" xfId="0" applyFont="1" applyFill="1" applyBorder="1" applyAlignment="1">
      <alignment horizontal="right" vertical="center" indent="1"/>
    </xf>
    <xf numFmtId="0" fontId="20" fillId="0" borderId="12" xfId="0" applyFont="1" applyFill="1" applyBorder="1" applyAlignment="1">
      <alignment horizontal="right" vertical="center" wrapText="1" indent="1"/>
    </xf>
    <xf numFmtId="49" fontId="3" fillId="0" borderId="12" xfId="0" applyNumberFormat="1" applyFont="1" applyFill="1" applyBorder="1" applyAlignment="1">
      <alignment horizontal="right" vertical="center" indent="1"/>
    </xf>
    <xf numFmtId="49" fontId="2" fillId="0" borderId="12" xfId="0" applyNumberFormat="1" applyFont="1" applyFill="1" applyBorder="1" applyAlignment="1">
      <alignment horizontal="right" vertical="top" indent="1"/>
    </xf>
    <xf numFmtId="0" fontId="13" fillId="0" borderId="12" xfId="0" applyFont="1" applyFill="1" applyBorder="1" applyAlignment="1">
      <alignment horizontal="right" vertical="top" wrapText="1" indent="1"/>
    </xf>
    <xf numFmtId="49" fontId="12" fillId="0" borderId="12" xfId="0" applyNumberFormat="1" applyFont="1" applyFill="1" applyBorder="1" applyAlignment="1">
      <alignment horizontal="right" vertical="center"/>
    </xf>
    <xf numFmtId="3" fontId="9" fillId="0" borderId="12" xfId="0" applyNumberFormat="1" applyFont="1" applyBorder="1" applyAlignment="1">
      <alignment horizontal="right" vertical="center" indent="1"/>
    </xf>
    <xf numFmtId="3" fontId="12" fillId="3" borderId="12" xfId="0" applyNumberFormat="1" applyFont="1" applyFill="1" applyBorder="1" applyAlignment="1">
      <alignment horizontal="right" vertical="center" indent="1"/>
    </xf>
    <xf numFmtId="3" fontId="4" fillId="3" borderId="12" xfId="0" applyNumberFormat="1" applyFont="1" applyFill="1" applyBorder="1" applyAlignment="1">
      <alignment horizontal="right" vertical="center" indent="1"/>
    </xf>
    <xf numFmtId="3" fontId="2" fillId="3" borderId="12" xfId="0" applyNumberFormat="1" applyFont="1" applyFill="1" applyBorder="1" applyAlignment="1">
      <alignment horizontal="right" indent="1"/>
    </xf>
    <xf numFmtId="0" fontId="4" fillId="3" borderId="12" xfId="0" applyFont="1" applyFill="1" applyBorder="1" applyAlignment="1">
      <alignment horizontal="left" vertical="center"/>
    </xf>
    <xf numFmtId="3" fontId="3" fillId="0" borderId="12" xfId="0" applyNumberFormat="1" applyFont="1" applyBorder="1" applyAlignment="1">
      <alignment horizontal="right" vertical="center" indent="1"/>
    </xf>
    <xf numFmtId="0" fontId="2" fillId="0" borderId="0" xfId="0" applyFont="1" applyAlignment="1">
      <alignment vertical="center"/>
    </xf>
    <xf numFmtId="2" fontId="12" fillId="0" borderId="12" xfId="0" applyNumberFormat="1" applyFont="1" applyFill="1" applyBorder="1" applyAlignment="1">
      <alignment horizontal="right" vertical="center"/>
    </xf>
    <xf numFmtId="3" fontId="9" fillId="0" borderId="12" xfId="0" applyNumberFormat="1" applyFont="1" applyFill="1" applyBorder="1" applyAlignment="1">
      <alignment horizontal="right" vertical="center" wrapText="1" indent="1"/>
    </xf>
    <xf numFmtId="4" fontId="2" fillId="0" borderId="12" xfId="0" applyNumberFormat="1" applyFont="1" applyFill="1" applyBorder="1" applyAlignment="1">
      <alignment horizontal="right" vertical="center" wrapText="1" indent="1"/>
    </xf>
    <xf numFmtId="0" fontId="4" fillId="2" borderId="12" xfId="0" applyFont="1" applyFill="1" applyBorder="1" applyAlignment="1">
      <alignment horizontal="right" vertical="center" wrapText="1" indent="1"/>
    </xf>
    <xf numFmtId="0" fontId="16" fillId="0" borderId="0" xfId="0" applyFont="1"/>
    <xf numFmtId="3" fontId="8" fillId="0" borderId="12" xfId="0" applyNumberFormat="1" applyFont="1" applyBorder="1" applyAlignment="1">
      <alignment horizontal="right" vertical="center" indent="1"/>
    </xf>
    <xf numFmtId="0" fontId="11" fillId="0" borderId="0" xfId="0" applyFont="1" applyFill="1" applyBorder="1" applyAlignment="1">
      <alignment vertical="center"/>
    </xf>
    <xf numFmtId="0" fontId="11" fillId="0" borderId="0" xfId="0" applyFont="1" applyFill="1" applyBorder="1"/>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Border="1" applyAlignment="1">
      <alignment horizontal="center" vertical="center"/>
    </xf>
    <xf numFmtId="3" fontId="24" fillId="3" borderId="12" xfId="0" applyNumberFormat="1" applyFont="1" applyFill="1" applyBorder="1" applyAlignment="1">
      <alignment horizontal="left" vertical="center" wrapText="1"/>
    </xf>
    <xf numFmtId="0" fontId="11" fillId="0" borderId="0" xfId="0" applyFont="1" applyFill="1" applyBorder="1" applyAlignment="1">
      <alignment horizontal="center" vertical="top"/>
    </xf>
    <xf numFmtId="0" fontId="3" fillId="0" borderId="0" xfId="0" applyFont="1" applyAlignment="1">
      <alignment horizontal="left"/>
    </xf>
    <xf numFmtId="4" fontId="2" fillId="0" borderId="12" xfId="0" applyNumberFormat="1" applyFont="1" applyBorder="1" applyAlignment="1">
      <alignment horizontal="right" vertical="center" indent="1"/>
    </xf>
    <xf numFmtId="0" fontId="2" fillId="0" borderId="0" xfId="0" applyFont="1" applyFill="1" applyAlignment="1">
      <alignment vertical="center"/>
    </xf>
    <xf numFmtId="164" fontId="2" fillId="3" borderId="12" xfId="0" applyNumberFormat="1" applyFont="1" applyFill="1" applyBorder="1" applyAlignment="1">
      <alignment horizontal="right" vertical="center"/>
    </xf>
    <xf numFmtId="0" fontId="29" fillId="0" borderId="0" xfId="0" applyFont="1"/>
    <xf numFmtId="0" fontId="29" fillId="0" borderId="0" xfId="0" applyFont="1" applyAlignment="1">
      <alignment vertical="center"/>
    </xf>
    <xf numFmtId="0" fontId="2" fillId="0" borderId="12" xfId="0" applyFont="1" applyBorder="1" applyAlignment="1">
      <alignment horizontal="right" vertical="center"/>
    </xf>
    <xf numFmtId="0" fontId="8" fillId="0" borderId="13" xfId="0" applyFont="1" applyBorder="1" applyAlignment="1">
      <alignment vertical="center"/>
    </xf>
    <xf numFmtId="0" fontId="9" fillId="3" borderId="13" xfId="0" applyFont="1" applyFill="1" applyBorder="1" applyAlignment="1">
      <alignment horizontal="left" vertical="center" wrapText="1"/>
    </xf>
    <xf numFmtId="0" fontId="2" fillId="0" borderId="2" xfId="0" applyFont="1" applyFill="1" applyBorder="1" applyAlignment="1">
      <alignment horizontal="left" vertical="center" indent="1"/>
    </xf>
    <xf numFmtId="4" fontId="8" fillId="3" borderId="12" xfId="0" applyNumberFormat="1" applyFont="1" applyFill="1" applyBorder="1" applyAlignment="1">
      <alignment horizontal="left" vertical="center" wrapText="1" indent="1"/>
    </xf>
    <xf numFmtId="0" fontId="24" fillId="3" borderId="12" xfId="0" applyFont="1" applyFill="1" applyBorder="1" applyAlignment="1">
      <alignment horizontal="left" vertical="center" wrapText="1" indent="1"/>
    </xf>
    <xf numFmtId="3" fontId="12" fillId="3" borderId="12" xfId="0" applyNumberFormat="1" applyFont="1" applyFill="1" applyBorder="1" applyAlignment="1">
      <alignment horizontal="left" vertical="center" wrapText="1" indent="1"/>
    </xf>
    <xf numFmtId="3" fontId="2" fillId="3" borderId="12" xfId="0" applyNumberFormat="1" applyFont="1" applyFill="1" applyBorder="1" applyAlignment="1">
      <alignment horizontal="left" vertical="center" wrapText="1" indent="1"/>
    </xf>
    <xf numFmtId="3" fontId="12" fillId="3" borderId="12" xfId="1" applyNumberFormat="1" applyFont="1" applyFill="1" applyBorder="1" applyAlignment="1">
      <alignment horizontal="left" vertical="center" wrapText="1" indent="1"/>
    </xf>
    <xf numFmtId="0" fontId="2" fillId="0" borderId="12" xfId="0" applyFont="1" applyFill="1" applyBorder="1" applyAlignment="1">
      <alignment horizontal="left" vertical="center" indent="1"/>
    </xf>
    <xf numFmtId="0" fontId="2" fillId="0" borderId="12" xfId="0" applyFont="1" applyFill="1" applyBorder="1" applyAlignment="1">
      <alignment horizontal="left" indent="1"/>
    </xf>
    <xf numFmtId="0" fontId="3" fillId="0" borderId="12" xfId="0" applyFont="1" applyFill="1" applyBorder="1" applyAlignment="1">
      <alignment horizontal="left" vertical="center" indent="1"/>
    </xf>
    <xf numFmtId="0" fontId="2" fillId="0" borderId="0" xfId="0" applyFont="1" applyAlignment="1">
      <alignment horizontal="left" indent="1"/>
    </xf>
    <xf numFmtId="0" fontId="2" fillId="0" borderId="12" xfId="0" applyFont="1" applyBorder="1" applyAlignment="1">
      <alignment horizontal="left" indent="1"/>
    </xf>
    <xf numFmtId="0" fontId="2" fillId="3" borderId="12" xfId="0" applyFont="1" applyFill="1" applyBorder="1" applyAlignment="1">
      <alignment horizontal="left" indent="1"/>
    </xf>
    <xf numFmtId="0" fontId="12" fillId="3" borderId="12"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13" fillId="0" borderId="12" xfId="0" applyFont="1" applyFill="1" applyBorder="1" applyAlignment="1">
      <alignment horizontal="left" vertical="center" indent="1"/>
    </xf>
    <xf numFmtId="0" fontId="19" fillId="3" borderId="12" xfId="0" applyFont="1" applyFill="1" applyBorder="1" applyAlignment="1">
      <alignment horizontal="left" vertical="center" wrapText="1" indent="1"/>
    </xf>
    <xf numFmtId="0" fontId="13" fillId="0" borderId="12" xfId="0"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11" fillId="3" borderId="12" xfId="8" applyFont="1" applyFill="1" applyBorder="1" applyAlignment="1">
      <alignment horizontal="left" vertical="center" wrapText="1" indent="1"/>
    </xf>
    <xf numFmtId="3" fontId="15" fillId="3" borderId="12" xfId="0" applyNumberFormat="1" applyFont="1" applyFill="1" applyBorder="1" applyAlignment="1">
      <alignment horizontal="left" vertical="center" wrapText="1" indent="1"/>
    </xf>
    <xf numFmtId="3" fontId="2" fillId="3" borderId="12" xfId="0" applyNumberFormat="1" applyFont="1" applyFill="1" applyBorder="1" applyAlignment="1">
      <alignment horizontal="left" vertical="center" indent="1"/>
    </xf>
    <xf numFmtId="3" fontId="2" fillId="3" borderId="12" xfId="0" applyNumberFormat="1" applyFont="1" applyFill="1" applyBorder="1" applyAlignment="1" applyProtection="1">
      <alignment horizontal="left" vertical="center" indent="1"/>
      <protection locked="0"/>
    </xf>
    <xf numFmtId="166" fontId="12" fillId="5" borderId="12" xfId="0" applyNumberFormat="1" applyFont="1" applyFill="1" applyBorder="1" applyAlignment="1">
      <alignment horizontal="left" vertical="center" indent="1"/>
    </xf>
    <xf numFmtId="0" fontId="12" fillId="0" borderId="12" xfId="0" applyFont="1" applyFill="1" applyBorder="1" applyAlignment="1">
      <alignment horizontal="left" vertical="center" indent="1"/>
    </xf>
    <xf numFmtId="0" fontId="15" fillId="0" borderId="12" xfId="0" applyFont="1" applyFill="1" applyBorder="1" applyAlignment="1">
      <alignment horizontal="left" vertical="center" wrapText="1" indent="1"/>
    </xf>
    <xf numFmtId="0" fontId="9" fillId="0" borderId="12" xfId="0" applyFont="1" applyFill="1" applyBorder="1" applyAlignment="1">
      <alignment horizontal="left" vertical="center" indent="1"/>
    </xf>
    <xf numFmtId="0" fontId="12" fillId="0" borderId="12" xfId="10" applyFont="1" applyFill="1" applyBorder="1" applyAlignment="1">
      <alignment horizontal="left" vertical="center" wrapText="1" indent="1"/>
    </xf>
    <xf numFmtId="49" fontId="2" fillId="0" borderId="12" xfId="0" applyNumberFormat="1" applyFont="1" applyFill="1" applyBorder="1" applyAlignment="1">
      <alignment horizontal="left" vertical="center" indent="1"/>
    </xf>
    <xf numFmtId="0" fontId="20" fillId="0" borderId="12" xfId="0" applyFont="1" applyFill="1" applyBorder="1" applyAlignment="1">
      <alignment horizontal="left" vertical="center" wrapText="1" indent="1"/>
    </xf>
    <xf numFmtId="49" fontId="3" fillId="0" borderId="12" xfId="0" applyNumberFormat="1" applyFont="1" applyFill="1" applyBorder="1" applyAlignment="1">
      <alignment horizontal="left" vertical="center" indent="1"/>
    </xf>
    <xf numFmtId="49" fontId="2" fillId="0" borderId="12" xfId="0" applyNumberFormat="1" applyFont="1" applyFill="1" applyBorder="1" applyAlignment="1">
      <alignment horizontal="left" vertical="top" indent="1"/>
    </xf>
    <xf numFmtId="0" fontId="13" fillId="0" borderId="12" xfId="0" applyFont="1" applyFill="1" applyBorder="1" applyAlignment="1">
      <alignment horizontal="left" vertical="top" wrapText="1" indent="1"/>
    </xf>
    <xf numFmtId="0" fontId="2" fillId="3" borderId="12" xfId="0" applyFont="1" applyFill="1" applyBorder="1" applyAlignment="1">
      <alignment horizontal="left" vertical="center" indent="1"/>
    </xf>
    <xf numFmtId="0" fontId="4" fillId="0" borderId="12" xfId="0" applyFont="1" applyFill="1" applyBorder="1" applyAlignment="1">
      <alignment horizontal="left" vertical="center"/>
    </xf>
    <xf numFmtId="0" fontId="16" fillId="0" borderId="7" xfId="0" applyFont="1" applyBorder="1"/>
    <xf numFmtId="0" fontId="32" fillId="6" borderId="12" xfId="1" applyFont="1" applyFill="1" applyBorder="1" applyAlignment="1">
      <alignment horizontal="left" vertical="center"/>
    </xf>
    <xf numFmtId="0" fontId="32" fillId="6" borderId="12" xfId="1" applyFont="1" applyFill="1" applyBorder="1" applyAlignment="1">
      <alignment horizontal="center" vertical="center" wrapText="1"/>
    </xf>
    <xf numFmtId="0" fontId="32" fillId="6" borderId="12" xfId="1" applyFont="1" applyFill="1" applyBorder="1" applyAlignment="1">
      <alignment horizontal="center" vertical="center"/>
    </xf>
    <xf numFmtId="0" fontId="33" fillId="7" borderId="12" xfId="1" applyFont="1" applyFill="1" applyBorder="1" applyAlignment="1">
      <alignment horizontal="center" vertical="center"/>
    </xf>
    <xf numFmtId="169" fontId="33" fillId="7" borderId="12" xfId="1" applyNumberFormat="1" applyFont="1" applyFill="1" applyBorder="1" applyAlignment="1">
      <alignment horizontal="center" vertical="center"/>
    </xf>
    <xf numFmtId="0" fontId="35" fillId="3" borderId="12" xfId="1" applyFont="1" applyFill="1" applyBorder="1" applyAlignment="1">
      <alignment horizontal="left" vertical="center" wrapText="1"/>
    </xf>
    <xf numFmtId="169" fontId="35" fillId="3" borderId="12" xfId="12" applyNumberFormat="1" applyFont="1" applyFill="1" applyBorder="1" applyAlignment="1">
      <alignment horizontal="center" vertical="center"/>
    </xf>
    <xf numFmtId="169" fontId="35" fillId="3" borderId="12" xfId="0" applyNumberFormat="1" applyFont="1" applyFill="1" applyBorder="1" applyAlignment="1">
      <alignment horizontal="center" vertical="center"/>
    </xf>
    <xf numFmtId="0" fontId="35" fillId="3" borderId="12" xfId="12" applyFont="1" applyFill="1" applyBorder="1" applyAlignment="1">
      <alignment vertical="center" wrapText="1"/>
    </xf>
    <xf numFmtId="0" fontId="35" fillId="0" borderId="12" xfId="1" applyFont="1" applyFill="1" applyBorder="1" applyAlignment="1">
      <alignment horizontal="left" vertical="center" wrapText="1"/>
    </xf>
    <xf numFmtId="0" fontId="35" fillId="3" borderId="12" xfId="12" applyFont="1" applyFill="1" applyBorder="1" applyAlignment="1">
      <alignment horizontal="left" vertical="center" wrapText="1"/>
    </xf>
    <xf numFmtId="0" fontId="35" fillId="3" borderId="12" xfId="1" applyFont="1" applyFill="1" applyBorder="1" applyAlignment="1">
      <alignment vertical="center" wrapText="1"/>
    </xf>
    <xf numFmtId="0" fontId="33" fillId="7" borderId="12" xfId="1" applyFont="1" applyFill="1" applyBorder="1" applyAlignment="1">
      <alignment vertical="center" wrapText="1"/>
    </xf>
    <xf numFmtId="0" fontId="37" fillId="7" borderId="12" xfId="1" applyFont="1" applyFill="1" applyBorder="1" applyAlignment="1">
      <alignment horizontal="center" vertical="center"/>
    </xf>
    <xf numFmtId="169" fontId="37" fillId="7" borderId="12" xfId="1" applyNumberFormat="1" applyFont="1" applyFill="1" applyBorder="1" applyAlignment="1">
      <alignment horizontal="center" vertical="center"/>
    </xf>
    <xf numFmtId="169" fontId="35" fillId="9" borderId="12" xfId="12" applyNumberFormat="1" applyFont="1" applyFill="1" applyBorder="1" applyAlignment="1">
      <alignment horizontal="right" vertical="center" indent="1"/>
    </xf>
    <xf numFmtId="169" fontId="35" fillId="3" borderId="12" xfId="12" applyNumberFormat="1" applyFont="1" applyFill="1" applyBorder="1" applyAlignment="1">
      <alignment horizontal="right" vertical="center" indent="1"/>
    </xf>
    <xf numFmtId="0" fontId="35" fillId="0" borderId="12" xfId="1" applyFont="1" applyFill="1" applyBorder="1" applyAlignment="1">
      <alignment vertical="center" wrapText="1"/>
    </xf>
    <xf numFmtId="164" fontId="36" fillId="8" borderId="9" xfId="12" applyNumberFormat="1" applyFont="1" applyFill="1" applyBorder="1" applyAlignment="1">
      <alignment vertical="center" wrapText="1"/>
    </xf>
    <xf numFmtId="164" fontId="38" fillId="10" borderId="12" xfId="12" applyNumberFormat="1" applyFont="1" applyFill="1" applyBorder="1" applyAlignment="1">
      <alignment vertical="center"/>
    </xf>
    <xf numFmtId="169" fontId="37" fillId="11" borderId="12" xfId="1" applyNumberFormat="1" applyFont="1" applyFill="1" applyBorder="1" applyAlignment="1">
      <alignment horizontal="center" vertical="center"/>
    </xf>
    <xf numFmtId="169" fontId="37" fillId="7" borderId="12" xfId="12" applyNumberFormat="1" applyFont="1" applyFill="1" applyBorder="1" applyAlignment="1">
      <alignment horizontal="center" vertical="center"/>
    </xf>
    <xf numFmtId="169" fontId="35" fillId="9" borderId="12" xfId="12" applyNumberFormat="1" applyFont="1" applyFill="1" applyBorder="1" applyAlignment="1">
      <alignment horizontal="center" vertical="center"/>
    </xf>
    <xf numFmtId="0" fontId="37" fillId="7" borderId="4" xfId="0" applyFont="1" applyFill="1" applyBorder="1" applyAlignment="1"/>
    <xf numFmtId="169" fontId="37" fillId="7" borderId="12" xfId="0" applyNumberFormat="1" applyFont="1" applyFill="1" applyBorder="1" applyAlignment="1">
      <alignment horizontal="center" vertical="center"/>
    </xf>
    <xf numFmtId="164" fontId="33" fillId="8" borderId="12" xfId="12" applyNumberFormat="1" applyFont="1" applyFill="1" applyBorder="1" applyAlignment="1">
      <alignment vertical="center" wrapText="1"/>
    </xf>
    <xf numFmtId="164" fontId="33" fillId="10" borderId="12" xfId="12" applyNumberFormat="1" applyFont="1" applyFill="1" applyBorder="1" applyAlignment="1">
      <alignment vertical="center" wrapText="1"/>
    </xf>
    <xf numFmtId="169" fontId="37" fillId="7" borderId="12" xfId="12" applyNumberFormat="1" applyFont="1" applyFill="1" applyBorder="1" applyAlignment="1">
      <alignment horizontal="right" vertical="center" indent="1"/>
    </xf>
    <xf numFmtId="0" fontId="35" fillId="3" borderId="12" xfId="12" applyFont="1" applyFill="1" applyBorder="1" applyAlignment="1">
      <alignment vertical="center"/>
    </xf>
    <xf numFmtId="3" fontId="35" fillId="3" borderId="12" xfId="0" applyNumberFormat="1" applyFont="1" applyFill="1" applyBorder="1" applyAlignment="1">
      <alignment horizontal="right" vertical="center" indent="1"/>
    </xf>
    <xf numFmtId="0" fontId="35" fillId="3" borderId="12" xfId="12" applyFont="1" applyFill="1" applyBorder="1" applyAlignment="1">
      <alignment horizontal="left" vertical="center"/>
    </xf>
    <xf numFmtId="0" fontId="35" fillId="12" borderId="12" xfId="1" applyFont="1" applyFill="1" applyBorder="1" applyAlignment="1">
      <alignment vertical="center" wrapText="1"/>
    </xf>
    <xf numFmtId="0" fontId="35" fillId="3" borderId="13" xfId="12" applyFont="1" applyFill="1" applyBorder="1" applyAlignment="1">
      <alignment vertical="center" wrapText="1"/>
    </xf>
    <xf numFmtId="0" fontId="16" fillId="3" borderId="12" xfId="1" applyFont="1" applyFill="1" applyBorder="1" applyAlignment="1">
      <alignment horizontal="left" vertical="center"/>
    </xf>
    <xf numFmtId="164" fontId="33" fillId="7" borderId="12" xfId="12" applyNumberFormat="1" applyFont="1" applyFill="1" applyBorder="1" applyAlignment="1">
      <alignment vertical="center" wrapText="1"/>
    </xf>
    <xf numFmtId="0" fontId="33" fillId="7" borderId="12" xfId="12" applyFont="1" applyFill="1" applyBorder="1" applyAlignment="1">
      <alignment vertical="center" wrapText="1"/>
    </xf>
    <xf numFmtId="169" fontId="35" fillId="12" borderId="12" xfId="1" applyNumberFormat="1" applyFont="1" applyFill="1" applyBorder="1" applyAlignment="1">
      <alignment horizontal="center" vertical="center"/>
    </xf>
    <xf numFmtId="0" fontId="35" fillId="3" borderId="12" xfId="0" applyFont="1" applyFill="1" applyBorder="1" applyAlignment="1">
      <alignment horizontal="left" vertical="center" wrapText="1"/>
    </xf>
    <xf numFmtId="164" fontId="35" fillId="8" borderId="12" xfId="12" applyNumberFormat="1" applyFont="1" applyFill="1" applyBorder="1" applyAlignment="1">
      <alignment horizontal="left" vertical="center" wrapText="1"/>
    </xf>
    <xf numFmtId="169" fontId="35" fillId="3" borderId="13" xfId="12" applyNumberFormat="1" applyFont="1" applyFill="1" applyBorder="1" applyAlignment="1">
      <alignment horizontal="center" vertical="center"/>
    </xf>
    <xf numFmtId="0" fontId="35" fillId="3" borderId="13" xfId="1" applyFont="1" applyFill="1" applyBorder="1" applyAlignment="1">
      <alignment vertical="center" wrapText="1"/>
    </xf>
    <xf numFmtId="0" fontId="35" fillId="3" borderId="11" xfId="12" applyFont="1" applyFill="1" applyBorder="1" applyAlignment="1">
      <alignment horizontal="left" vertical="center" wrapText="1"/>
    </xf>
    <xf numFmtId="169" fontId="37" fillId="13" borderId="12" xfId="12" applyNumberFormat="1" applyFont="1" applyFill="1" applyBorder="1" applyAlignment="1">
      <alignment horizontal="center" vertical="center"/>
    </xf>
    <xf numFmtId="164" fontId="36" fillId="8" borderId="10" xfId="12" applyNumberFormat="1" applyFont="1" applyFill="1" applyBorder="1" applyAlignment="1">
      <alignment vertical="center" wrapText="1"/>
    </xf>
    <xf numFmtId="0" fontId="35" fillId="3" borderId="1" xfId="12" applyFont="1" applyFill="1" applyBorder="1" applyAlignment="1">
      <alignment vertical="center" wrapText="1"/>
    </xf>
    <xf numFmtId="169" fontId="35" fillId="3" borderId="10" xfId="12" applyNumberFormat="1" applyFont="1" applyFill="1" applyBorder="1" applyAlignment="1">
      <alignment horizontal="right" vertical="center" indent="1"/>
    </xf>
    <xf numFmtId="4" fontId="35" fillId="3" borderId="12" xfId="12" applyNumberFormat="1" applyFont="1" applyFill="1" applyBorder="1" applyAlignment="1">
      <alignment horizontal="right" vertical="center" indent="1"/>
    </xf>
    <xf numFmtId="0" fontId="16" fillId="14" borderId="17" xfId="1" applyFont="1" applyFill="1" applyBorder="1" applyAlignment="1">
      <alignment vertical="center"/>
    </xf>
    <xf numFmtId="0" fontId="39" fillId="14" borderId="17" xfId="1" applyFont="1" applyFill="1" applyBorder="1" applyAlignment="1">
      <alignment horizontal="center" vertical="center" wrapText="1"/>
    </xf>
    <xf numFmtId="169" fontId="39" fillId="14" borderId="17" xfId="1" applyNumberFormat="1" applyFont="1" applyFill="1" applyBorder="1" applyAlignment="1">
      <alignment horizontal="center" vertical="center"/>
    </xf>
    <xf numFmtId="0" fontId="32" fillId="15" borderId="12" xfId="1" applyFont="1" applyFill="1" applyBorder="1" applyAlignment="1">
      <alignment horizontal="center" vertical="center"/>
    </xf>
    <xf numFmtId="0" fontId="32" fillId="15" borderId="12" xfId="1" applyFont="1" applyFill="1" applyBorder="1" applyAlignment="1">
      <alignment horizontal="center" vertical="center" wrapText="1"/>
    </xf>
    <xf numFmtId="170" fontId="33" fillId="15" borderId="12" xfId="1" applyNumberFormat="1" applyFont="1" applyFill="1" applyBorder="1" applyAlignment="1">
      <alignment horizontal="center" vertical="center"/>
    </xf>
    <xf numFmtId="4" fontId="33" fillId="15" borderId="12" xfId="12" applyNumberFormat="1" applyFont="1" applyFill="1" applyBorder="1" applyAlignment="1">
      <alignment horizontal="center" vertical="center"/>
    </xf>
    <xf numFmtId="4" fontId="33" fillId="15" borderId="12" xfId="1" applyNumberFormat="1" applyFont="1" applyFill="1" applyBorder="1" applyAlignment="1">
      <alignment horizontal="center" vertical="center" wrapText="1"/>
    </xf>
    <xf numFmtId="170" fontId="35" fillId="15" borderId="12" xfId="12" applyNumberFormat="1" applyFont="1" applyFill="1" applyBorder="1" applyAlignment="1">
      <alignment horizontal="right" vertical="center" indent="1"/>
    </xf>
    <xf numFmtId="4" fontId="35" fillId="15" borderId="12" xfId="12" applyNumberFormat="1" applyFont="1" applyFill="1" applyBorder="1" applyAlignment="1">
      <alignment horizontal="center" vertical="center"/>
    </xf>
    <xf numFmtId="4" fontId="36" fillId="15" borderId="12" xfId="1" applyNumberFormat="1" applyFont="1" applyFill="1" applyBorder="1" applyAlignment="1">
      <alignment horizontal="center" vertical="center" wrapText="1"/>
    </xf>
    <xf numFmtId="170" fontId="35" fillId="15" borderId="12" xfId="0" applyNumberFormat="1" applyFont="1" applyFill="1" applyBorder="1" applyAlignment="1">
      <alignment horizontal="right" vertical="center" indent="1"/>
    </xf>
    <xf numFmtId="170" fontId="37" fillId="15" borderId="12" xfId="1" applyNumberFormat="1" applyFont="1" applyFill="1" applyBorder="1" applyAlignment="1">
      <alignment horizontal="right" vertical="center" indent="1"/>
    </xf>
    <xf numFmtId="4" fontId="37" fillId="15" borderId="12" xfId="12" applyNumberFormat="1" applyFont="1" applyFill="1" applyBorder="1" applyAlignment="1">
      <alignment horizontal="center" vertical="center"/>
    </xf>
    <xf numFmtId="4" fontId="37" fillId="15" borderId="12" xfId="1" applyNumberFormat="1" applyFont="1" applyFill="1" applyBorder="1" applyAlignment="1">
      <alignment horizontal="center" vertical="center" wrapText="1"/>
    </xf>
    <xf numFmtId="169" fontId="35" fillId="16" borderId="12" xfId="12" applyNumberFormat="1" applyFont="1" applyFill="1" applyBorder="1" applyAlignment="1">
      <alignment horizontal="right" vertical="center" indent="1"/>
    </xf>
    <xf numFmtId="169" fontId="35" fillId="15" borderId="12" xfId="12" applyNumberFormat="1" applyFont="1" applyFill="1" applyBorder="1" applyAlignment="1">
      <alignment horizontal="right" vertical="center" indent="1"/>
    </xf>
    <xf numFmtId="170" fontId="37" fillId="17" borderId="12" xfId="1" applyNumberFormat="1" applyFont="1" applyFill="1" applyBorder="1" applyAlignment="1">
      <alignment horizontal="right" vertical="center" indent="1"/>
    </xf>
    <xf numFmtId="170" fontId="37" fillId="15" borderId="12" xfId="12" applyNumberFormat="1" applyFont="1" applyFill="1" applyBorder="1" applyAlignment="1">
      <alignment horizontal="center" vertical="center"/>
    </xf>
    <xf numFmtId="170" fontId="35" fillId="15" borderId="12" xfId="12" applyNumberFormat="1" applyFont="1" applyFill="1" applyBorder="1" applyAlignment="1">
      <alignment horizontal="center" vertical="center"/>
    </xf>
    <xf numFmtId="170" fontId="35" fillId="16" borderId="12" xfId="12" applyNumberFormat="1" applyFont="1" applyFill="1" applyBorder="1" applyAlignment="1">
      <alignment horizontal="center" vertical="center"/>
    </xf>
    <xf numFmtId="170" fontId="37" fillId="15" borderId="12" xfId="0" applyNumberFormat="1" applyFont="1" applyFill="1" applyBorder="1" applyAlignment="1">
      <alignment horizontal="center" vertical="center"/>
    </xf>
    <xf numFmtId="170" fontId="37" fillId="15" borderId="12" xfId="12" applyNumberFormat="1" applyFont="1" applyFill="1" applyBorder="1" applyAlignment="1">
      <alignment horizontal="right" vertical="center" indent="1"/>
    </xf>
    <xf numFmtId="169" fontId="35" fillId="17" borderId="12" xfId="1" applyNumberFormat="1" applyFont="1" applyFill="1" applyBorder="1" applyAlignment="1">
      <alignment horizontal="right" vertical="center" indent="1"/>
    </xf>
    <xf numFmtId="169" fontId="35" fillId="15" borderId="13" xfId="12" applyNumberFormat="1" applyFont="1" applyFill="1" applyBorder="1" applyAlignment="1">
      <alignment horizontal="right" vertical="center" indent="1"/>
    </xf>
    <xf numFmtId="170" fontId="37" fillId="16" borderId="12" xfId="12" applyNumberFormat="1" applyFont="1" applyFill="1" applyBorder="1" applyAlignment="1">
      <alignment horizontal="center" vertical="center"/>
    </xf>
    <xf numFmtId="170" fontId="35" fillId="15" borderId="10" xfId="12" applyNumberFormat="1" applyFont="1" applyFill="1" applyBorder="1" applyAlignment="1">
      <alignment horizontal="right" vertical="center" indent="1"/>
    </xf>
    <xf numFmtId="170" fontId="39" fillId="15" borderId="17" xfId="1" applyNumberFormat="1" applyFont="1" applyFill="1" applyBorder="1" applyAlignment="1">
      <alignment horizontal="center" vertical="center"/>
    </xf>
    <xf numFmtId="4" fontId="39" fillId="15" borderId="17" xfId="12" applyNumberFormat="1" applyFont="1" applyFill="1" applyBorder="1" applyAlignment="1">
      <alignment horizontal="center" vertical="center"/>
    </xf>
    <xf numFmtId="4" fontId="39" fillId="15" borderId="17" xfId="1" applyNumberFormat="1" applyFont="1" applyFill="1" applyBorder="1" applyAlignment="1">
      <alignment horizontal="center" vertical="center" wrapText="1"/>
    </xf>
    <xf numFmtId="0" fontId="3" fillId="0" borderId="12" xfId="0" applyFont="1" applyFill="1" applyBorder="1" applyAlignment="1">
      <alignment horizontal="left" vertical="center"/>
    </xf>
    <xf numFmtId="3" fontId="8" fillId="0" borderId="12" xfId="0" applyNumberFormat="1" applyFont="1" applyFill="1" applyBorder="1" applyAlignment="1">
      <alignment horizontal="right" vertical="center" indent="1"/>
    </xf>
    <xf numFmtId="0" fontId="12" fillId="0" borderId="15" xfId="0" applyFont="1" applyFill="1" applyBorder="1" applyAlignment="1">
      <alignment horizontal="center" vertical="center" wrapText="1"/>
    </xf>
    <xf numFmtId="0" fontId="2" fillId="0" borderId="12" xfId="0" applyFont="1" applyBorder="1" applyAlignment="1">
      <alignment horizontal="right" indent="14"/>
    </xf>
    <xf numFmtId="49" fontId="4" fillId="0" borderId="15" xfId="0" applyNumberFormat="1" applyFont="1" applyFill="1" applyBorder="1" applyAlignment="1">
      <alignment horizontal="left" vertical="center"/>
    </xf>
    <xf numFmtId="49" fontId="12" fillId="0" borderId="15"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4" fillId="2" borderId="12" xfId="0" applyFont="1" applyFill="1" applyBorder="1" applyAlignment="1">
      <alignment horizontal="center" vertical="center" wrapText="1"/>
    </xf>
    <xf numFmtId="0" fontId="2" fillId="0" borderId="2" xfId="0" applyFont="1" applyFill="1" applyBorder="1" applyAlignment="1">
      <alignment vertical="center"/>
    </xf>
    <xf numFmtId="3" fontId="12" fillId="3" borderId="12" xfId="0" applyNumberFormat="1" applyFont="1" applyFill="1" applyBorder="1" applyAlignment="1" applyProtection="1">
      <alignment horizontal="left" vertical="center" indent="1"/>
      <protection locked="0"/>
    </xf>
    <xf numFmtId="4" fontId="12" fillId="3" borderId="12" xfId="0" applyNumberFormat="1" applyFont="1" applyFill="1" applyBorder="1" applyAlignment="1">
      <alignment horizontal="right" vertical="center" wrapText="1" indent="1"/>
    </xf>
    <xf numFmtId="43" fontId="12" fillId="3" borderId="12" xfId="11" applyFont="1" applyFill="1" applyBorder="1" applyAlignment="1">
      <alignment horizontal="right" vertical="center" wrapText="1" indent="1"/>
    </xf>
    <xf numFmtId="2" fontId="2" fillId="0" borderId="0" xfId="0" applyNumberFormat="1" applyFont="1"/>
    <xf numFmtId="1" fontId="2" fillId="0" borderId="0" xfId="0" applyNumberFormat="1" applyFont="1"/>
    <xf numFmtId="4" fontId="2" fillId="3" borderId="12" xfId="0" applyNumberFormat="1" applyFont="1" applyFill="1" applyBorder="1" applyAlignment="1">
      <alignment horizontal="right" vertical="center" wrapText="1" indent="1"/>
    </xf>
    <xf numFmtId="4" fontId="3" fillId="3" borderId="12" xfId="0" applyNumberFormat="1" applyFont="1" applyFill="1" applyBorder="1" applyAlignment="1">
      <alignment horizontal="right" vertical="center" wrapText="1" indent="1"/>
    </xf>
    <xf numFmtId="0" fontId="2" fillId="0" borderId="0" xfId="0" applyFont="1" applyAlignment="1">
      <alignment horizontal="right" indent="2"/>
    </xf>
    <xf numFmtId="0" fontId="2" fillId="18" borderId="0" xfId="0" applyFont="1" applyFill="1" applyAlignment="1">
      <alignment vertical="center"/>
    </xf>
    <xf numFmtId="0" fontId="2" fillId="3" borderId="12" xfId="0" applyFont="1" applyFill="1" applyBorder="1" applyAlignment="1">
      <alignment horizontal="center" vertical="center" wrapText="1"/>
    </xf>
    <xf numFmtId="4" fontId="8" fillId="0" borderId="12" xfId="0" applyNumberFormat="1" applyFont="1" applyBorder="1" applyAlignment="1">
      <alignment horizontal="right" vertical="center" indent="1"/>
    </xf>
    <xf numFmtId="0" fontId="4" fillId="3" borderId="12" xfId="0" applyFont="1" applyFill="1" applyBorder="1" applyAlignment="1">
      <alignment vertical="center"/>
    </xf>
    <xf numFmtId="0" fontId="10" fillId="3" borderId="12" xfId="1" applyFont="1" applyFill="1" applyBorder="1" applyAlignment="1">
      <alignment vertical="center" wrapText="1"/>
    </xf>
    <xf numFmtId="0" fontId="11" fillId="3" borderId="12" xfId="1" applyFont="1" applyFill="1" applyBorder="1" applyAlignment="1">
      <alignment horizontal="left" vertical="center" wrapText="1"/>
    </xf>
    <xf numFmtId="0" fontId="2" fillId="3" borderId="12" xfId="0" applyFont="1" applyFill="1" applyBorder="1" applyAlignment="1">
      <alignment horizontal="center"/>
    </xf>
    <xf numFmtId="4" fontId="4" fillId="3" borderId="12" xfId="1" applyNumberFormat="1" applyFont="1" applyFill="1" applyBorder="1" applyAlignment="1">
      <alignment horizontal="right" vertical="center" indent="1"/>
    </xf>
    <xf numFmtId="4" fontId="4" fillId="3" borderId="12" xfId="0" applyNumberFormat="1" applyFont="1" applyFill="1" applyBorder="1" applyAlignment="1">
      <alignment horizontal="right" vertical="center" indent="1"/>
    </xf>
    <xf numFmtId="3" fontId="4" fillId="3" borderId="12" xfId="1" applyNumberFormat="1" applyFont="1" applyFill="1" applyBorder="1" applyAlignment="1">
      <alignment horizontal="right" vertical="center" indent="1"/>
    </xf>
    <xf numFmtId="4" fontId="12" fillId="3" borderId="12" xfId="7" applyNumberFormat="1" applyFont="1" applyFill="1" applyBorder="1" applyAlignment="1">
      <alignment horizontal="right" vertical="center" wrapText="1" indent="1"/>
    </xf>
    <xf numFmtId="0" fontId="41" fillId="3" borderId="13" xfId="0" applyFont="1" applyFill="1" applyBorder="1" applyAlignment="1">
      <alignment vertical="center"/>
    </xf>
    <xf numFmtId="0" fontId="12" fillId="3" borderId="12" xfId="0" applyFont="1" applyFill="1" applyBorder="1" applyAlignment="1">
      <alignment horizontal="left" vertical="center" indent="1"/>
    </xf>
    <xf numFmtId="0" fontId="12" fillId="3" borderId="12" xfId="1" applyFont="1" applyFill="1" applyBorder="1" applyAlignment="1">
      <alignment horizontal="left" vertical="center" indent="1"/>
    </xf>
    <xf numFmtId="0" fontId="12" fillId="3" borderId="12" xfId="1" applyFont="1" applyFill="1" applyBorder="1" applyAlignment="1">
      <alignment horizontal="left" vertical="center" wrapText="1" indent="1"/>
    </xf>
    <xf numFmtId="0" fontId="2" fillId="14" borderId="0" xfId="0" applyFont="1" applyFill="1"/>
    <xf numFmtId="43" fontId="2" fillId="3" borderId="12" xfId="0" applyNumberFormat="1" applyFont="1" applyFill="1" applyBorder="1" applyAlignment="1">
      <alignment horizontal="left" vertical="center" indent="1"/>
    </xf>
    <xf numFmtId="43" fontId="0" fillId="0" borderId="0" xfId="0" applyNumberFormat="1" applyBorder="1"/>
    <xf numFmtId="0" fontId="2" fillId="0" borderId="0" xfId="0" applyFont="1" applyBorder="1" applyAlignment="1">
      <alignment vertical="center"/>
    </xf>
    <xf numFmtId="0" fontId="2" fillId="3" borderId="2" xfId="0" applyFont="1" applyFill="1" applyBorder="1" applyAlignment="1">
      <alignment horizontal="center" vertical="center"/>
    </xf>
    <xf numFmtId="0" fontId="2" fillId="3" borderId="0" xfId="0" applyFont="1" applyFill="1" applyBorder="1" applyAlignment="1">
      <alignment vertical="center" wrapText="1"/>
    </xf>
    <xf numFmtId="4" fontId="2" fillId="0" borderId="12" xfId="0" applyNumberFormat="1" applyFont="1" applyBorder="1" applyAlignment="1">
      <alignment horizontal="right" indent="1"/>
    </xf>
    <xf numFmtId="0" fontId="12" fillId="3" borderId="12" xfId="0" applyFont="1" applyFill="1" applyBorder="1" applyAlignment="1">
      <alignment horizontal="center" vertical="center" wrapText="1"/>
    </xf>
    <xf numFmtId="4" fontId="4" fillId="3" borderId="12" xfId="7" applyNumberFormat="1" applyFont="1" applyFill="1" applyBorder="1" applyAlignment="1">
      <alignment horizontal="right" vertical="center" wrapText="1" indent="1"/>
    </xf>
    <xf numFmtId="2" fontId="2" fillId="3" borderId="12" xfId="0" applyNumberFormat="1" applyFont="1" applyFill="1" applyBorder="1" applyAlignment="1">
      <alignment horizontal="right" vertical="center" wrapText="1" indent="1"/>
    </xf>
    <xf numFmtId="4" fontId="9" fillId="0" borderId="12" xfId="0" applyNumberFormat="1" applyFont="1" applyBorder="1" applyAlignment="1">
      <alignment horizontal="right" vertical="center" indent="1"/>
    </xf>
    <xf numFmtId="4" fontId="9" fillId="3" borderId="12" xfId="0" applyNumberFormat="1" applyFont="1" applyFill="1" applyBorder="1" applyAlignment="1">
      <alignment horizontal="right" vertical="center" wrapText="1" indent="1"/>
    </xf>
    <xf numFmtId="0" fontId="9" fillId="3" borderId="13" xfId="0" applyFont="1" applyFill="1" applyBorder="1" applyAlignment="1">
      <alignment vertical="center" wrapText="1"/>
    </xf>
    <xf numFmtId="0" fontId="4" fillId="3" borderId="13" xfId="0" applyFont="1" applyFill="1" applyBorder="1" applyAlignment="1">
      <alignment vertical="center" wrapText="1"/>
    </xf>
    <xf numFmtId="0" fontId="12" fillId="3" borderId="13" xfId="0" applyFont="1" applyFill="1" applyBorder="1" applyAlignment="1">
      <alignment vertical="center" wrapText="1"/>
    </xf>
    <xf numFmtId="0" fontId="12" fillId="4" borderId="13" xfId="0" applyFont="1" applyFill="1" applyBorder="1" applyAlignment="1">
      <alignment vertical="center" wrapText="1"/>
    </xf>
    <xf numFmtId="4" fontId="12" fillId="3" borderId="12" xfId="0" applyNumberFormat="1" applyFont="1" applyFill="1" applyBorder="1" applyAlignment="1">
      <alignment horizontal="right" vertical="center" indent="1"/>
    </xf>
    <xf numFmtId="0" fontId="12" fillId="4" borderId="13" xfId="0" applyFont="1" applyFill="1" applyBorder="1" applyAlignment="1">
      <alignment horizontal="left" vertical="center" wrapText="1" indent="1"/>
    </xf>
    <xf numFmtId="4" fontId="4" fillId="3" borderId="12" xfId="0" applyNumberFormat="1" applyFont="1" applyFill="1" applyBorder="1" applyAlignment="1">
      <alignment horizontal="right" vertical="center" wrapText="1" indent="1"/>
    </xf>
    <xf numFmtId="4" fontId="9" fillId="3" borderId="12" xfId="7" applyNumberFormat="1" applyFont="1" applyFill="1" applyBorder="1" applyAlignment="1">
      <alignment horizontal="right" vertical="center" wrapText="1" indent="1"/>
    </xf>
    <xf numFmtId="3" fontId="2" fillId="3" borderId="12" xfId="0" applyNumberFormat="1" applyFont="1" applyFill="1" applyBorder="1" applyAlignment="1">
      <alignment horizontal="center" vertical="center" wrapText="1"/>
    </xf>
    <xf numFmtId="4" fontId="3" fillId="3" borderId="12" xfId="7" applyNumberFormat="1" applyFont="1" applyFill="1" applyBorder="1" applyAlignment="1">
      <alignment horizontal="right" vertical="center" wrapText="1" indent="1"/>
    </xf>
    <xf numFmtId="0" fontId="2" fillId="4" borderId="13" xfId="0" applyFont="1" applyFill="1" applyBorder="1" applyAlignment="1">
      <alignment horizontal="left" vertical="center" wrapText="1" indent="1"/>
    </xf>
    <xf numFmtId="4" fontId="3" fillId="3" borderId="12" xfId="0" applyNumberFormat="1" applyFont="1" applyFill="1" applyBorder="1" applyAlignment="1">
      <alignment horizontal="right" vertical="center" indent="1"/>
    </xf>
    <xf numFmtId="0" fontId="13" fillId="3" borderId="12" xfId="0" applyFont="1" applyFill="1" applyBorder="1" applyAlignment="1">
      <alignment vertical="center"/>
    </xf>
    <xf numFmtId="4" fontId="8" fillId="3" borderId="12" xfId="0" applyNumberFormat="1" applyFont="1" applyFill="1" applyBorder="1" applyAlignment="1">
      <alignment horizontal="right" vertical="center" indent="1"/>
    </xf>
    <xf numFmtId="0" fontId="12" fillId="3" borderId="12" xfId="0" applyFont="1" applyFill="1" applyBorder="1" applyAlignment="1">
      <alignment vertical="center" wrapText="1"/>
    </xf>
    <xf numFmtId="0" fontId="2" fillId="3" borderId="12" xfId="0" applyFont="1" applyFill="1" applyBorder="1" applyAlignment="1">
      <alignment horizontal="right" vertical="center"/>
    </xf>
    <xf numFmtId="3" fontId="2" fillId="0" borderId="12" xfId="0" applyNumberFormat="1" applyFont="1" applyBorder="1" applyAlignment="1">
      <alignment horizontal="right" vertical="center" indent="1"/>
    </xf>
    <xf numFmtId="0" fontId="3" fillId="0" borderId="12" xfId="0" applyFont="1" applyBorder="1" applyAlignment="1">
      <alignment horizontal="left" vertical="center"/>
    </xf>
    <xf numFmtId="3" fontId="8" fillId="3" borderId="12" xfId="0" applyNumberFormat="1" applyFont="1" applyFill="1" applyBorder="1" applyAlignment="1">
      <alignment horizontal="right" vertical="center" indent="1"/>
    </xf>
    <xf numFmtId="0" fontId="2" fillId="3" borderId="12" xfId="0" applyFont="1" applyFill="1" applyBorder="1" applyAlignment="1">
      <alignment vertical="center" wrapText="1"/>
    </xf>
    <xf numFmtId="3" fontId="19" fillId="3" borderId="12" xfId="0" applyNumberFormat="1" applyFont="1" applyFill="1" applyBorder="1" applyAlignment="1">
      <alignment horizontal="right" vertical="center" wrapText="1" indent="1"/>
    </xf>
    <xf numFmtId="4" fontId="19" fillId="3" borderId="12" xfId="0" applyNumberFormat="1" applyFont="1" applyFill="1" applyBorder="1" applyAlignment="1">
      <alignment horizontal="right" vertical="center" wrapText="1" indent="1"/>
    </xf>
    <xf numFmtId="2" fontId="45" fillId="3" borderId="12" xfId="0" applyNumberFormat="1" applyFont="1" applyFill="1" applyBorder="1" applyAlignment="1">
      <alignment horizontal="right" vertical="center" wrapText="1" indent="1"/>
    </xf>
    <xf numFmtId="2" fontId="44" fillId="3" borderId="12" xfId="0" applyNumberFormat="1" applyFont="1" applyFill="1" applyBorder="1" applyAlignment="1">
      <alignment horizontal="right" vertical="center" wrapText="1" indent="1"/>
    </xf>
    <xf numFmtId="2" fontId="8" fillId="3" borderId="12" xfId="0" applyNumberFormat="1" applyFont="1" applyFill="1" applyBorder="1" applyAlignment="1">
      <alignment horizontal="right" vertical="center" indent="1"/>
    </xf>
    <xf numFmtId="4" fontId="45" fillId="3" borderId="12" xfId="0" applyNumberFormat="1" applyFont="1" applyFill="1" applyBorder="1" applyAlignment="1">
      <alignment horizontal="right" vertical="center" wrapText="1" indent="1"/>
    </xf>
    <xf numFmtId="2" fontId="8" fillId="3" borderId="12" xfId="0" applyNumberFormat="1" applyFont="1" applyFill="1" applyBorder="1" applyAlignment="1">
      <alignment horizontal="right" vertical="center" wrapText="1" indent="1"/>
    </xf>
    <xf numFmtId="0" fontId="2" fillId="0" borderId="0" xfId="0" applyFont="1" applyBorder="1" applyAlignment="1">
      <alignment horizontal="left"/>
    </xf>
    <xf numFmtId="0" fontId="0" fillId="0" borderId="0" xfId="0" applyBorder="1" applyAlignment="1">
      <alignment horizontal="left" wrapText="1" indent="3"/>
    </xf>
    <xf numFmtId="0" fontId="2" fillId="0" borderId="0" xfId="0" applyFont="1" applyBorder="1" applyAlignment="1"/>
    <xf numFmtId="0" fontId="18" fillId="3" borderId="12" xfId="0" applyFont="1" applyFill="1" applyBorder="1" applyAlignment="1">
      <alignment horizontal="left" vertical="center" wrapText="1" indent="1"/>
    </xf>
    <xf numFmtId="9" fontId="12" fillId="3" borderId="12" xfId="7" applyFont="1" applyFill="1" applyBorder="1" applyAlignment="1">
      <alignment horizontal="right" vertical="center" wrapText="1" indent="1"/>
    </xf>
    <xf numFmtId="3" fontId="12" fillId="3" borderId="12" xfId="11" applyNumberFormat="1" applyFont="1" applyFill="1" applyBorder="1" applyAlignment="1">
      <alignment horizontal="right" vertical="center" wrapText="1" indent="1"/>
    </xf>
    <xf numFmtId="0" fontId="8" fillId="3" borderId="12" xfId="0" applyFont="1" applyFill="1" applyBorder="1" applyAlignment="1">
      <alignment vertical="center"/>
    </xf>
    <xf numFmtId="0" fontId="8" fillId="3" borderId="6" xfId="0" applyFont="1" applyFill="1" applyBorder="1" applyAlignment="1">
      <alignment horizontal="center" vertical="center" wrapText="1"/>
    </xf>
    <xf numFmtId="0" fontId="2" fillId="3" borderId="10" xfId="0" applyFont="1" applyFill="1" applyBorder="1" applyAlignment="1">
      <alignment vertical="center" wrapText="1"/>
    </xf>
    <xf numFmtId="4" fontId="2" fillId="0" borderId="0" xfId="0" applyNumberFormat="1" applyFont="1" applyAlignment="1">
      <alignment horizontal="right" indent="1"/>
    </xf>
    <xf numFmtId="164" fontId="2" fillId="3" borderId="12" xfId="0" applyNumberFormat="1" applyFont="1" applyFill="1" applyBorder="1" applyAlignment="1">
      <alignment vertical="center"/>
    </xf>
    <xf numFmtId="176" fontId="2" fillId="3" borderId="13" xfId="0" applyNumberFormat="1" applyFont="1" applyFill="1" applyBorder="1" applyAlignment="1">
      <alignment horizontal="right" vertical="center" indent="1"/>
    </xf>
    <xf numFmtId="176" fontId="2" fillId="3" borderId="12" xfId="0" applyNumberFormat="1" applyFont="1" applyFill="1" applyBorder="1" applyAlignment="1">
      <alignment horizontal="right" vertical="center" indent="1"/>
    </xf>
    <xf numFmtId="176" fontId="2" fillId="3" borderId="6" xfId="0" applyNumberFormat="1" applyFont="1" applyFill="1" applyBorder="1" applyAlignment="1">
      <alignment horizontal="right" vertical="center" indent="1"/>
    </xf>
    <xf numFmtId="4" fontId="2" fillId="3" borderId="13" xfId="0" applyNumberFormat="1" applyFont="1" applyFill="1" applyBorder="1" applyAlignment="1">
      <alignment horizontal="right" vertical="center" indent="1"/>
    </xf>
    <xf numFmtId="2" fontId="12" fillId="3" borderId="12" xfId="0" applyNumberFormat="1" applyFont="1" applyFill="1" applyBorder="1" applyAlignment="1">
      <alignment horizontal="right" vertical="center" wrapText="1" indent="1"/>
    </xf>
    <xf numFmtId="0" fontId="12" fillId="3" borderId="12" xfId="0" applyFont="1" applyFill="1" applyBorder="1" applyAlignment="1">
      <alignment vertical="center"/>
    </xf>
    <xf numFmtId="0" fontId="12" fillId="3" borderId="12" xfId="0" applyFont="1" applyFill="1" applyBorder="1" applyAlignment="1">
      <alignment horizontal="right" vertical="center"/>
    </xf>
    <xf numFmtId="0" fontId="12" fillId="3" borderId="12" xfId="0" applyFont="1" applyFill="1" applyBorder="1" applyAlignment="1" applyProtection="1">
      <alignment horizontal="left" vertical="center" wrapText="1" indent="1"/>
      <protection locked="0"/>
    </xf>
    <xf numFmtId="0" fontId="2" fillId="0" borderId="12" xfId="0" applyFont="1" applyBorder="1" applyAlignment="1">
      <alignment horizontal="left" indent="2"/>
    </xf>
    <xf numFmtId="0" fontId="8" fillId="3" borderId="12" xfId="0" applyFont="1" applyFill="1" applyBorder="1" applyAlignment="1">
      <alignment horizontal="left" vertical="center" indent="1"/>
    </xf>
    <xf numFmtId="3" fontId="8" fillId="0" borderId="0" xfId="0" applyNumberFormat="1" applyFont="1" applyBorder="1" applyAlignment="1">
      <alignment horizontal="right" vertical="center" indent="1"/>
    </xf>
    <xf numFmtId="43" fontId="2" fillId="0" borderId="0" xfId="11" applyFont="1" applyBorder="1" applyAlignment="1">
      <alignment horizontal="right" vertical="center" indent="1"/>
    </xf>
    <xf numFmtId="0" fontId="2" fillId="0" borderId="12" xfId="0" applyFont="1" applyFill="1" applyBorder="1" applyAlignment="1">
      <alignment horizontal="center" vertical="center"/>
    </xf>
    <xf numFmtId="43" fontId="2" fillId="3" borderId="12" xfId="0" applyNumberFormat="1" applyFont="1" applyFill="1" applyBorder="1" applyAlignment="1">
      <alignment horizontal="left" indent="1"/>
    </xf>
    <xf numFmtId="4" fontId="2" fillId="3" borderId="12" xfId="0" applyNumberFormat="1" applyFont="1" applyFill="1" applyBorder="1" applyAlignment="1">
      <alignment horizontal="right" vertical="center" indent="2"/>
    </xf>
    <xf numFmtId="4" fontId="8" fillId="0" borderId="12" xfId="0" applyNumberFormat="1" applyFont="1" applyFill="1" applyBorder="1" applyAlignment="1">
      <alignment horizontal="right" vertical="center" indent="1"/>
    </xf>
    <xf numFmtId="4" fontId="12" fillId="0" borderId="12" xfId="0" applyNumberFormat="1" applyFont="1" applyFill="1" applyBorder="1" applyAlignment="1">
      <alignment horizontal="right" vertical="center" indent="1"/>
    </xf>
    <xf numFmtId="0" fontId="4" fillId="2"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4" fillId="3" borderId="12" xfId="0" applyFont="1" applyFill="1" applyBorder="1" applyAlignment="1">
      <alignment horizontal="left" vertical="center" wrapText="1"/>
    </xf>
    <xf numFmtId="0" fontId="12" fillId="0" borderId="12" xfId="0" applyFont="1" applyFill="1" applyBorder="1" applyAlignment="1">
      <alignment horizontal="left" vertical="center" wrapText="1" indent="1"/>
    </xf>
    <xf numFmtId="0" fontId="12" fillId="0" borderId="12" xfId="0" applyFont="1" applyFill="1" applyBorder="1" applyAlignment="1">
      <alignment horizontal="left" vertical="center" indent="1"/>
    </xf>
    <xf numFmtId="1" fontId="9" fillId="3" borderId="13" xfId="0" applyNumberFormat="1" applyFont="1" applyFill="1" applyBorder="1" applyAlignment="1">
      <alignment horizontal="left" vertical="center" wrapText="1"/>
    </xf>
    <xf numFmtId="0" fontId="9" fillId="3" borderId="12" xfId="0" applyFont="1" applyFill="1" applyBorder="1" applyAlignment="1">
      <alignment horizontal="center" vertical="center" wrapText="1"/>
    </xf>
    <xf numFmtId="4" fontId="9" fillId="3" borderId="12" xfId="7" applyNumberFormat="1" applyFont="1" applyFill="1" applyBorder="1" applyAlignment="1">
      <alignment horizontal="center" vertical="center" wrapText="1"/>
    </xf>
    <xf numFmtId="165" fontId="3" fillId="3" borderId="13" xfId="0" applyNumberFormat="1" applyFont="1" applyFill="1" applyBorder="1" applyAlignment="1">
      <alignment horizontal="left" vertical="center" wrapText="1"/>
    </xf>
    <xf numFmtId="0" fontId="3" fillId="3" borderId="12" xfId="0" applyFont="1" applyFill="1" applyBorder="1" applyAlignment="1">
      <alignment vertical="center" wrapText="1"/>
    </xf>
    <xf numFmtId="0" fontId="3" fillId="3" borderId="12" xfId="0" applyFont="1" applyFill="1" applyBorder="1" applyAlignment="1">
      <alignment horizontal="left" vertical="center" wrapText="1" indent="1"/>
    </xf>
    <xf numFmtId="0" fontId="3" fillId="3" borderId="12" xfId="0" applyFont="1" applyFill="1" applyBorder="1" applyAlignment="1">
      <alignment horizontal="center" vertical="center" wrapText="1"/>
    </xf>
    <xf numFmtId="4" fontId="3" fillId="3" borderId="12" xfId="7"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3" fontId="3" fillId="3" borderId="14" xfId="0" applyNumberFormat="1" applyFont="1" applyFill="1" applyBorder="1" applyAlignment="1">
      <alignment horizontal="right" vertical="center" wrapText="1" indent="1"/>
    </xf>
    <xf numFmtId="165" fontId="3" fillId="3" borderId="12" xfId="0" applyNumberFormat="1" applyFont="1" applyFill="1" applyBorder="1" applyAlignment="1">
      <alignment horizontal="left" vertical="center"/>
    </xf>
    <xf numFmtId="0" fontId="3" fillId="3" borderId="13" xfId="0" applyFont="1" applyFill="1" applyBorder="1" applyAlignment="1">
      <alignment horizontal="left" vertical="center" wrapText="1"/>
    </xf>
    <xf numFmtId="0" fontId="9" fillId="3" borderId="12" xfId="0" applyFont="1" applyFill="1" applyBorder="1" applyAlignment="1">
      <alignment wrapText="1"/>
    </xf>
    <xf numFmtId="0" fontId="15" fillId="0" borderId="12" xfId="0" applyFont="1" applyBorder="1"/>
    <xf numFmtId="0" fontId="2" fillId="0" borderId="0" xfId="0" applyFont="1" applyAlignment="1">
      <alignment horizontal="left" indent="2"/>
    </xf>
    <xf numFmtId="4" fontId="3" fillId="3" borderId="14" xfId="7" applyNumberFormat="1" applyFont="1" applyFill="1" applyBorder="1" applyAlignment="1">
      <alignment horizontal="right" vertical="center" wrapText="1" indent="1"/>
    </xf>
    <xf numFmtId="4" fontId="8" fillId="0" borderId="12" xfId="0" applyNumberFormat="1" applyFont="1" applyFill="1" applyBorder="1" applyAlignment="1">
      <alignment horizontal="right" vertical="center" wrapText="1" indent="1"/>
    </xf>
    <xf numFmtId="4" fontId="9" fillId="0" borderId="12" xfId="0" applyNumberFormat="1" applyFont="1" applyFill="1" applyBorder="1" applyAlignment="1">
      <alignment horizontal="right" vertical="center" wrapText="1" indent="1"/>
    </xf>
    <xf numFmtId="4" fontId="3" fillId="0" borderId="12" xfId="0" applyNumberFormat="1" applyFont="1" applyFill="1" applyBorder="1" applyAlignment="1">
      <alignment horizontal="right" vertical="center" wrapText="1" indent="1"/>
    </xf>
    <xf numFmtId="0" fontId="4" fillId="0" borderId="12" xfId="0" applyFont="1" applyFill="1" applyBorder="1" applyAlignment="1">
      <alignment horizontal="left" vertical="center" indent="1"/>
    </xf>
    <xf numFmtId="4" fontId="3" fillId="0" borderId="12" xfId="0" applyNumberFormat="1" applyFont="1" applyFill="1" applyBorder="1" applyAlignment="1">
      <alignment horizontal="right" vertical="center" indent="1"/>
    </xf>
    <xf numFmtId="49" fontId="3" fillId="0" borderId="12" xfId="0" applyNumberFormat="1" applyFont="1" applyFill="1" applyBorder="1" applyAlignment="1">
      <alignment vertical="center"/>
    </xf>
    <xf numFmtId="0" fontId="12" fillId="0" borderId="12" xfId="10" applyFont="1" applyFill="1" applyBorder="1" applyAlignment="1">
      <alignment horizontal="right" vertical="center" wrapText="1" indent="1"/>
    </xf>
    <xf numFmtId="0" fontId="12" fillId="3" borderId="12" xfId="0" applyFont="1" applyFill="1" applyBorder="1" applyAlignment="1">
      <alignment horizontal="right" vertical="center" wrapText="1" indent="1"/>
    </xf>
    <xf numFmtId="0" fontId="9" fillId="3" borderId="12" xfId="0" applyFont="1" applyFill="1" applyBorder="1" applyAlignment="1">
      <alignment horizontal="left" vertical="center"/>
    </xf>
    <xf numFmtId="4" fontId="9" fillId="0" borderId="12" xfId="0" applyNumberFormat="1" applyFont="1" applyFill="1" applyBorder="1" applyAlignment="1">
      <alignment horizontal="right" vertical="center" indent="1"/>
    </xf>
    <xf numFmtId="4" fontId="9" fillId="3" borderId="12" xfId="0" applyNumberFormat="1" applyFont="1" applyFill="1" applyBorder="1" applyAlignment="1">
      <alignment horizontal="right" vertical="center" indent="1"/>
    </xf>
    <xf numFmtId="4" fontId="3" fillId="0" borderId="12" xfId="0" applyNumberFormat="1" applyFont="1" applyBorder="1" applyAlignment="1">
      <alignment horizontal="right" vertical="center" indent="1"/>
    </xf>
    <xf numFmtId="173" fontId="4" fillId="3" borderId="12" xfId="0" applyNumberFormat="1" applyFont="1" applyFill="1" applyBorder="1" applyAlignment="1">
      <alignment horizontal="right" vertical="center" indent="1"/>
    </xf>
    <xf numFmtId="0" fontId="12" fillId="3" borderId="12" xfId="0" applyFont="1" applyFill="1" applyBorder="1" applyAlignment="1">
      <alignment vertical="center" wrapText="1"/>
    </xf>
    <xf numFmtId="0" fontId="2" fillId="3" borderId="12" xfId="0" applyFont="1" applyFill="1" applyBorder="1" applyAlignment="1">
      <alignment horizontal="right" vertical="center"/>
    </xf>
    <xf numFmtId="0" fontId="12" fillId="3" borderId="10" xfId="0" applyFont="1" applyFill="1" applyBorder="1" applyAlignment="1">
      <alignment horizontal="left" vertical="center" wrapText="1"/>
    </xf>
    <xf numFmtId="0" fontId="12" fillId="0" borderId="12" xfId="0" applyFont="1" applyFill="1" applyBorder="1" applyAlignment="1">
      <alignment horizontal="left" vertical="center" wrapText="1"/>
    </xf>
    <xf numFmtId="171" fontId="8" fillId="0" borderId="12" xfId="11" applyNumberFormat="1" applyFont="1" applyFill="1" applyBorder="1" applyAlignment="1">
      <alignment horizontal="right" vertical="center" indent="1"/>
    </xf>
    <xf numFmtId="171" fontId="12" fillId="0" borderId="12" xfId="11" applyNumberFormat="1" applyFont="1" applyFill="1" applyBorder="1" applyAlignment="1">
      <alignment horizontal="right" vertical="center" indent="1"/>
    </xf>
    <xf numFmtId="171" fontId="13" fillId="0" borderId="12" xfId="11" applyNumberFormat="1" applyFont="1" applyFill="1" applyBorder="1" applyAlignment="1">
      <alignment horizontal="right" vertical="center" indent="1"/>
    </xf>
    <xf numFmtId="4" fontId="8" fillId="0" borderId="12" xfId="7" applyNumberFormat="1" applyFont="1" applyFill="1" applyBorder="1" applyAlignment="1">
      <alignment horizontal="right" vertical="center" indent="1"/>
    </xf>
    <xf numFmtId="4" fontId="12" fillId="0" borderId="12" xfId="7" applyNumberFormat="1" applyFont="1" applyFill="1" applyBorder="1" applyAlignment="1">
      <alignment horizontal="right" vertical="center" indent="1"/>
    </xf>
    <xf numFmtId="0" fontId="8" fillId="3" borderId="12" xfId="0" applyFont="1" applyFill="1" applyBorder="1" applyAlignment="1">
      <alignment horizontal="right" vertical="center" indent="1"/>
    </xf>
    <xf numFmtId="171" fontId="12" fillId="0" borderId="12" xfId="11" applyNumberFormat="1" applyFont="1" applyFill="1" applyBorder="1" applyAlignment="1">
      <alignment horizontal="right" vertical="center" wrapText="1" indent="1"/>
    </xf>
    <xf numFmtId="3" fontId="13" fillId="0" borderId="12" xfId="11" applyNumberFormat="1" applyFont="1" applyFill="1" applyBorder="1" applyAlignment="1">
      <alignment horizontal="right" vertical="center" indent="1"/>
    </xf>
    <xf numFmtId="4" fontId="13" fillId="0" borderId="12" xfId="11" applyNumberFormat="1" applyFont="1" applyFill="1" applyBorder="1" applyAlignment="1">
      <alignment horizontal="right" vertical="center" indent="1"/>
    </xf>
    <xf numFmtId="3" fontId="2" fillId="0" borderId="0" xfId="0" applyNumberFormat="1" applyFont="1" applyAlignment="1">
      <alignment horizontal="center"/>
    </xf>
    <xf numFmtId="4" fontId="2" fillId="3" borderId="12" xfId="7" applyNumberFormat="1" applyFont="1" applyFill="1" applyBorder="1" applyAlignment="1">
      <alignment horizontal="right" vertical="center" wrapText="1" indent="1"/>
    </xf>
    <xf numFmtId="4" fontId="13" fillId="0" borderId="12" xfId="0" applyNumberFormat="1" applyFont="1" applyFill="1" applyBorder="1" applyAlignment="1">
      <alignment horizontal="right" vertical="center" wrapText="1" indent="1"/>
    </xf>
    <xf numFmtId="0" fontId="9" fillId="3" borderId="12" xfId="0" applyFont="1" applyFill="1" applyBorder="1" applyAlignment="1">
      <alignment vertical="center"/>
    </xf>
    <xf numFmtId="0" fontId="9" fillId="3" borderId="12" xfId="0" applyFont="1" applyFill="1" applyBorder="1" applyAlignment="1">
      <alignment horizontal="left" vertical="center" indent="1"/>
    </xf>
    <xf numFmtId="0" fontId="9" fillId="3" borderId="12" xfId="0" applyFont="1" applyFill="1" applyBorder="1" applyAlignment="1">
      <alignment horizontal="right" vertical="center" indent="1"/>
    </xf>
    <xf numFmtId="0" fontId="3" fillId="0" borderId="0" xfId="0" applyFont="1" applyAlignment="1">
      <alignment horizontal="left" vertical="center"/>
    </xf>
    <xf numFmtId="0" fontId="3" fillId="4" borderId="13" xfId="12" applyFont="1" applyFill="1" applyBorder="1" applyAlignment="1">
      <alignment vertical="center" wrapText="1"/>
    </xf>
    <xf numFmtId="0" fontId="3" fillId="4" borderId="12" xfId="12" applyFont="1" applyFill="1" applyBorder="1" applyAlignment="1">
      <alignment horizontal="left" vertical="center" indent="1"/>
    </xf>
    <xf numFmtId="0" fontId="3" fillId="4" borderId="12" xfId="12" applyFont="1" applyFill="1" applyBorder="1" applyAlignment="1">
      <alignment vertical="center"/>
    </xf>
    <xf numFmtId="0" fontId="3" fillId="4" borderId="12" xfId="12" applyFont="1" applyFill="1" applyBorder="1" applyAlignment="1">
      <alignment horizontal="right" vertical="center" indent="1"/>
    </xf>
    <xf numFmtId="3" fontId="3" fillId="4" borderId="12" xfId="12" applyNumberFormat="1" applyFont="1" applyFill="1" applyBorder="1" applyAlignment="1">
      <alignment horizontal="right" vertical="center" indent="1"/>
    </xf>
    <xf numFmtId="4" fontId="3" fillId="4" borderId="12" xfId="12" applyNumberFormat="1" applyFont="1" applyFill="1" applyBorder="1" applyAlignment="1">
      <alignment horizontal="right" vertical="center" indent="1"/>
    </xf>
    <xf numFmtId="0" fontId="46" fillId="4" borderId="12" xfId="12" applyFont="1" applyFill="1" applyBorder="1" applyAlignment="1">
      <alignment horizontal="left" vertical="center" indent="1"/>
    </xf>
    <xf numFmtId="0" fontId="46" fillId="4" borderId="12" xfId="12" applyFont="1" applyFill="1" applyBorder="1" applyAlignment="1">
      <alignment vertical="center"/>
    </xf>
    <xf numFmtId="0" fontId="46" fillId="4" borderId="12" xfId="12" applyFont="1" applyFill="1" applyBorder="1" applyAlignment="1">
      <alignment horizontal="right" vertical="center" indent="1"/>
    </xf>
    <xf numFmtId="0" fontId="51" fillId="4" borderId="12" xfId="12" applyFont="1" applyFill="1" applyBorder="1" applyAlignment="1">
      <alignment horizontal="left" vertical="center" indent="1"/>
    </xf>
    <xf numFmtId="0" fontId="51" fillId="4" borderId="12" xfId="12" applyFont="1" applyFill="1" applyBorder="1" applyAlignment="1">
      <alignment vertical="center"/>
    </xf>
    <xf numFmtId="0" fontId="51" fillId="4" borderId="12" xfId="12" applyFont="1" applyFill="1" applyBorder="1" applyAlignment="1">
      <alignment horizontal="right" vertical="center" indent="1"/>
    </xf>
    <xf numFmtId="0" fontId="3" fillId="4" borderId="12" xfId="12" applyFont="1" applyFill="1" applyBorder="1" applyAlignment="1">
      <alignment horizontal="left" vertical="center" wrapText="1" indent="1"/>
    </xf>
    <xf numFmtId="0" fontId="3" fillId="4" borderId="12" xfId="12" applyFont="1" applyFill="1" applyBorder="1" applyAlignment="1">
      <alignment vertical="center" wrapText="1"/>
    </xf>
    <xf numFmtId="0" fontId="3" fillId="4" borderId="12" xfId="12" applyFont="1" applyFill="1" applyBorder="1" applyAlignment="1">
      <alignment horizontal="right" vertical="center" wrapText="1" indent="1"/>
    </xf>
    <xf numFmtId="3" fontId="3" fillId="4" borderId="12" xfId="12" applyNumberFormat="1" applyFont="1" applyFill="1" applyBorder="1" applyAlignment="1">
      <alignment horizontal="right" vertical="center" wrapText="1" indent="1"/>
    </xf>
    <xf numFmtId="4" fontId="3" fillId="4" borderId="12" xfId="12" applyNumberFormat="1" applyFont="1" applyFill="1" applyBorder="1" applyAlignment="1">
      <alignment horizontal="right" vertical="center" wrapText="1" indent="1"/>
    </xf>
    <xf numFmtId="0" fontId="52" fillId="4" borderId="12" xfId="12" applyFont="1" applyFill="1" applyBorder="1" applyAlignment="1">
      <alignment horizontal="left" vertical="center" wrapText="1" indent="1"/>
    </xf>
    <xf numFmtId="0" fontId="52" fillId="4" borderId="12" xfId="12" applyFont="1" applyFill="1" applyBorder="1" applyAlignment="1">
      <alignment vertical="center" wrapText="1"/>
    </xf>
    <xf numFmtId="0" fontId="52" fillId="4" borderId="12" xfId="12" applyFont="1" applyFill="1" applyBorder="1" applyAlignment="1">
      <alignment horizontal="right" vertical="center" wrapText="1" indent="1"/>
    </xf>
    <xf numFmtId="3" fontId="4" fillId="3" borderId="12" xfId="0" applyNumberFormat="1" applyFont="1" applyFill="1" applyBorder="1" applyAlignment="1">
      <alignment horizontal="left" vertical="center" wrapText="1" indent="1"/>
    </xf>
    <xf numFmtId="3" fontId="3" fillId="3" borderId="12" xfId="0" applyNumberFormat="1" applyFont="1" applyFill="1" applyBorder="1" applyAlignment="1">
      <alignment horizontal="left" vertical="center" wrapText="1" indent="1"/>
    </xf>
    <xf numFmtId="0" fontId="2" fillId="3" borderId="0" xfId="0" applyFont="1" applyFill="1" applyAlignment="1">
      <alignment wrapText="1"/>
    </xf>
    <xf numFmtId="0" fontId="20" fillId="3" borderId="12" xfId="0" applyFont="1" applyFill="1" applyBorder="1" applyAlignment="1">
      <alignment horizontal="left" vertical="center"/>
    </xf>
    <xf numFmtId="0" fontId="20" fillId="3" borderId="12" xfId="0" applyFont="1" applyFill="1" applyBorder="1" applyAlignment="1">
      <alignment vertical="center"/>
    </xf>
    <xf numFmtId="0" fontId="13" fillId="3" borderId="12" xfId="0" applyFont="1" applyFill="1" applyBorder="1" applyAlignment="1">
      <alignment horizontal="left" vertical="center" indent="1"/>
    </xf>
    <xf numFmtId="0" fontId="13" fillId="3" borderId="12" xfId="0" applyFont="1" applyFill="1" applyBorder="1" applyAlignment="1">
      <alignment horizontal="left" vertical="center" wrapText="1" indent="1"/>
    </xf>
    <xf numFmtId="4" fontId="13" fillId="3" borderId="12" xfId="0" applyNumberFormat="1" applyFont="1" applyFill="1" applyBorder="1" applyAlignment="1">
      <alignment horizontal="right" vertical="center" wrapText="1" indent="1"/>
    </xf>
    <xf numFmtId="171" fontId="20" fillId="3" borderId="12" xfId="11" applyNumberFormat="1" applyFont="1" applyFill="1" applyBorder="1" applyAlignment="1">
      <alignment horizontal="right" vertical="center" indent="1"/>
    </xf>
    <xf numFmtId="4" fontId="4" fillId="3" borderId="12" xfId="7" applyNumberFormat="1" applyFont="1" applyFill="1" applyBorder="1" applyAlignment="1">
      <alignment horizontal="right" vertical="center" indent="1"/>
    </xf>
    <xf numFmtId="0" fontId="13" fillId="3" borderId="12" xfId="0" applyFont="1" applyFill="1" applyBorder="1" applyAlignment="1">
      <alignment horizontal="left" indent="1"/>
    </xf>
    <xf numFmtId="171" fontId="19" fillId="3" borderId="12" xfId="11" applyNumberFormat="1" applyFont="1" applyFill="1" applyBorder="1" applyAlignment="1">
      <alignment horizontal="right" vertical="center" indent="1"/>
    </xf>
    <xf numFmtId="0" fontId="13" fillId="3" borderId="12" xfId="0" applyFont="1" applyFill="1" applyBorder="1" applyAlignment="1">
      <alignment horizontal="center" vertical="center"/>
    </xf>
    <xf numFmtId="3" fontId="20" fillId="3" borderId="12" xfId="11" applyNumberFormat="1" applyFont="1" applyFill="1" applyBorder="1" applyAlignment="1">
      <alignment horizontal="right" vertical="center" indent="1"/>
    </xf>
    <xf numFmtId="4" fontId="20" fillId="3" borderId="12" xfId="11" applyNumberFormat="1" applyFont="1" applyFill="1" applyBorder="1" applyAlignment="1">
      <alignment horizontal="right" vertical="center" indent="1"/>
    </xf>
    <xf numFmtId="0" fontId="2" fillId="3" borderId="0" xfId="0" applyFont="1" applyFill="1" applyAlignment="1">
      <alignment horizontal="left" indent="1"/>
    </xf>
    <xf numFmtId="49" fontId="13" fillId="3" borderId="12" xfId="0" applyNumberFormat="1" applyFont="1" applyFill="1" applyBorder="1" applyAlignment="1">
      <alignment horizontal="left" vertical="center"/>
    </xf>
    <xf numFmtId="0" fontId="13" fillId="3" borderId="12" xfId="0" applyFont="1" applyFill="1" applyBorder="1" applyAlignment="1">
      <alignment vertical="center" wrapText="1"/>
    </xf>
    <xf numFmtId="3" fontId="13" fillId="3" borderId="12" xfId="11" applyNumberFormat="1" applyFont="1" applyFill="1" applyBorder="1" applyAlignment="1">
      <alignment horizontal="right" vertical="center" indent="1"/>
    </xf>
    <xf numFmtId="4" fontId="13" fillId="3" borderId="12" xfId="11" applyNumberFormat="1" applyFont="1" applyFill="1" applyBorder="1" applyAlignment="1">
      <alignment horizontal="right" vertical="center" indent="1"/>
    </xf>
    <xf numFmtId="0" fontId="13" fillId="3" borderId="12" xfId="0" applyFont="1" applyFill="1" applyBorder="1" applyAlignment="1">
      <alignment horizontal="justify" vertical="center"/>
    </xf>
    <xf numFmtId="0" fontId="3" fillId="3" borderId="0" xfId="0" applyFont="1" applyFill="1" applyAlignment="1">
      <alignment vertical="center"/>
    </xf>
    <xf numFmtId="0" fontId="20" fillId="3" borderId="12" xfId="0" applyFont="1" applyFill="1" applyBorder="1" applyAlignment="1">
      <alignment horizontal="left" vertical="center" indent="1"/>
    </xf>
    <xf numFmtId="4" fontId="20" fillId="3" borderId="12" xfId="0" applyNumberFormat="1" applyFont="1" applyFill="1" applyBorder="1" applyAlignment="1">
      <alignment horizontal="right" vertical="center" wrapText="1" indent="1"/>
    </xf>
    <xf numFmtId="4" fontId="12" fillId="3" borderId="12" xfId="7" applyNumberFormat="1" applyFont="1" applyFill="1" applyBorder="1" applyAlignment="1">
      <alignment horizontal="right" vertical="center" indent="1"/>
    </xf>
    <xf numFmtId="0" fontId="3" fillId="3" borderId="12" xfId="0" applyFont="1" applyFill="1" applyBorder="1" applyAlignment="1">
      <alignment vertical="center"/>
    </xf>
    <xf numFmtId="3" fontId="3" fillId="3" borderId="12" xfId="11" applyNumberFormat="1" applyFont="1" applyFill="1" applyBorder="1" applyAlignment="1">
      <alignment horizontal="right" vertical="center" indent="1"/>
    </xf>
    <xf numFmtId="4" fontId="3" fillId="3" borderId="12" xfId="11" applyNumberFormat="1" applyFont="1" applyFill="1" applyBorder="1" applyAlignment="1">
      <alignment horizontal="right" vertical="center" indent="1"/>
    </xf>
    <xf numFmtId="4" fontId="3" fillId="3" borderId="12" xfId="7" applyNumberFormat="1" applyFont="1" applyFill="1" applyBorder="1" applyAlignment="1">
      <alignment horizontal="right" vertical="center" indent="1"/>
    </xf>
    <xf numFmtId="0" fontId="2" fillId="3" borderId="0" xfId="0" applyFont="1" applyFill="1"/>
    <xf numFmtId="0" fontId="3" fillId="3" borderId="12" xfId="0" applyFont="1" applyFill="1" applyBorder="1" applyAlignment="1">
      <alignment horizontal="left" vertical="center" indent="1"/>
    </xf>
    <xf numFmtId="10" fontId="2" fillId="3" borderId="12" xfId="0" applyNumberFormat="1" applyFont="1" applyFill="1" applyBorder="1" applyAlignment="1">
      <alignment horizontal="right" vertical="center" indent="1"/>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3" fontId="2" fillId="0" borderId="12" xfId="0" applyNumberFormat="1" applyFont="1" applyFill="1" applyBorder="1" applyAlignment="1">
      <alignment horizontal="right" vertical="center" wrapText="1" indent="1"/>
    </xf>
    <xf numFmtId="0" fontId="2" fillId="0" borderId="12" xfId="0" applyFont="1" applyFill="1" applyBorder="1" applyAlignment="1">
      <alignment horizontal="left" vertical="center" indent="1"/>
    </xf>
    <xf numFmtId="0" fontId="4" fillId="3" borderId="12" xfId="0" applyFont="1" applyFill="1" applyBorder="1" applyAlignment="1">
      <alignment horizontal="justify" vertical="center"/>
    </xf>
    <xf numFmtId="0" fontId="2" fillId="3" borderId="12" xfId="0" applyFont="1" applyFill="1" applyBorder="1" applyAlignment="1">
      <alignment horizontal="justify" vertical="center" wrapText="1"/>
    </xf>
    <xf numFmtId="0" fontId="3" fillId="3" borderId="12" xfId="0" applyFont="1" applyFill="1" applyBorder="1" applyAlignment="1">
      <alignment horizontal="justify" vertical="center"/>
    </xf>
    <xf numFmtId="0" fontId="3" fillId="3" borderId="12"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2" fillId="3" borderId="12" xfId="0" applyFont="1" applyFill="1" applyBorder="1" applyAlignment="1">
      <alignment horizontal="left" indent="1"/>
    </xf>
    <xf numFmtId="3" fontId="9" fillId="3" borderId="12" xfId="0" applyNumberFormat="1" applyFont="1" applyFill="1" applyBorder="1" applyAlignment="1">
      <alignment horizontal="right" vertical="center" indent="1"/>
    </xf>
    <xf numFmtId="0" fontId="2" fillId="3" borderId="12" xfId="0" applyFont="1" applyFill="1" applyBorder="1" applyAlignment="1">
      <alignment horizontal="justify" vertical="center"/>
    </xf>
    <xf numFmtId="0" fontId="9" fillId="3" borderId="12" xfId="0" applyFont="1" applyFill="1" applyBorder="1" applyAlignment="1">
      <alignment horizontal="justify" vertical="center"/>
    </xf>
    <xf numFmtId="0" fontId="15" fillId="3" borderId="12" xfId="0" applyFont="1" applyFill="1" applyBorder="1" applyAlignment="1">
      <alignment horizontal="left" vertical="center" indent="1"/>
    </xf>
    <xf numFmtId="0" fontId="15" fillId="3" borderId="12" xfId="0" applyFont="1" applyFill="1" applyBorder="1" applyAlignment="1">
      <alignment horizontal="center" vertical="center"/>
    </xf>
    <xf numFmtId="0" fontId="18" fillId="0" borderId="12" xfId="0" applyFont="1" applyFill="1" applyBorder="1" applyAlignment="1">
      <alignment horizontal="left" vertical="center"/>
    </xf>
    <xf numFmtId="0" fontId="4" fillId="2" borderId="12" xfId="0" applyFont="1" applyFill="1" applyBorder="1" applyAlignment="1">
      <alignment horizontal="center" vertical="center" wrapText="1"/>
    </xf>
    <xf numFmtId="0" fontId="2" fillId="3" borderId="12" xfId="0" applyFont="1" applyFill="1" applyBorder="1" applyAlignment="1">
      <alignment vertical="center"/>
    </xf>
    <xf numFmtId="0" fontId="9" fillId="3" borderId="12" xfId="0" applyFont="1" applyFill="1" applyBorder="1" applyAlignment="1">
      <alignment horizontal="right" vertical="center" wrapText="1" indent="1"/>
    </xf>
    <xf numFmtId="0" fontId="2" fillId="3" borderId="12" xfId="0" applyFont="1" applyFill="1" applyBorder="1" applyAlignment="1">
      <alignment horizontal="left" indent="2"/>
    </xf>
    <xf numFmtId="0" fontId="2" fillId="3" borderId="12" xfId="0" applyFont="1" applyFill="1" applyBorder="1" applyAlignment="1">
      <alignment horizontal="right" indent="1"/>
    </xf>
    <xf numFmtId="3" fontId="4" fillId="3" borderId="12" xfId="11" applyNumberFormat="1" applyFont="1" applyFill="1" applyBorder="1" applyAlignment="1">
      <alignment horizontal="right" vertical="center" indent="1"/>
    </xf>
    <xf numFmtId="4" fontId="4" fillId="3" borderId="12" xfId="11" applyNumberFormat="1" applyFont="1" applyFill="1" applyBorder="1" applyAlignment="1">
      <alignment horizontal="right" vertical="center" indent="1"/>
    </xf>
    <xf numFmtId="165" fontId="13" fillId="3" borderId="12" xfId="0" applyNumberFormat="1" applyFont="1" applyFill="1" applyBorder="1" applyAlignment="1">
      <alignment horizontal="left" vertical="center" indent="1"/>
    </xf>
    <xf numFmtId="0" fontId="13" fillId="0" borderId="12" xfId="0" applyFont="1" applyFill="1" applyBorder="1" applyAlignment="1">
      <alignment horizontal="right" vertical="center"/>
    </xf>
    <xf numFmtId="49" fontId="13" fillId="0" borderId="12" xfId="0" applyNumberFormat="1" applyFont="1" applyFill="1" applyBorder="1" applyAlignment="1">
      <alignment horizontal="right" vertical="center"/>
    </xf>
    <xf numFmtId="2" fontId="13" fillId="0" borderId="12" xfId="0" applyNumberFormat="1" applyFont="1" applyFill="1" applyBorder="1" applyAlignment="1">
      <alignment horizontal="right" vertical="center"/>
    </xf>
    <xf numFmtId="0" fontId="13" fillId="0" borderId="11" xfId="0" applyFont="1" applyFill="1" applyBorder="1" applyAlignment="1">
      <alignment horizontal="right" vertical="center"/>
    </xf>
    <xf numFmtId="43" fontId="19" fillId="3" borderId="12" xfId="11" applyFont="1" applyFill="1" applyBorder="1" applyAlignment="1">
      <alignment horizontal="right" vertical="center" indent="1"/>
    </xf>
    <xf numFmtId="172" fontId="12" fillId="0" borderId="12" xfId="11" applyNumberFormat="1" applyFont="1" applyFill="1" applyBorder="1" applyAlignment="1">
      <alignment horizontal="right" vertical="center" indent="1"/>
    </xf>
    <xf numFmtId="172" fontId="12" fillId="0" borderId="12" xfId="11" applyNumberFormat="1" applyFont="1" applyFill="1" applyBorder="1" applyAlignment="1">
      <alignment horizontal="right" vertical="center" wrapText="1" indent="1"/>
    </xf>
    <xf numFmtId="172" fontId="20" fillId="3" borderId="12" xfId="11" applyNumberFormat="1" applyFont="1" applyFill="1" applyBorder="1" applyAlignment="1">
      <alignment horizontal="right" vertical="center" indent="1"/>
    </xf>
    <xf numFmtId="172" fontId="2" fillId="3" borderId="12" xfId="11" applyNumberFormat="1" applyFont="1" applyFill="1" applyBorder="1" applyAlignment="1">
      <alignment horizontal="right" vertical="center" indent="1"/>
    </xf>
    <xf numFmtId="172" fontId="13" fillId="0" borderId="12" xfId="11" applyNumberFormat="1" applyFont="1" applyFill="1" applyBorder="1" applyAlignment="1">
      <alignment horizontal="right" vertical="center" indent="1"/>
    </xf>
    <xf numFmtId="2" fontId="19" fillId="3" borderId="12" xfId="0" applyNumberFormat="1" applyFont="1" applyFill="1" applyBorder="1" applyAlignment="1">
      <alignment horizontal="right" vertical="center" wrapText="1" indent="1"/>
    </xf>
    <xf numFmtId="0" fontId="15" fillId="3" borderId="12" xfId="0" applyFont="1" applyFill="1" applyBorder="1" applyAlignment="1">
      <alignment horizontal="left" vertical="center" wrapText="1" indent="1"/>
    </xf>
    <xf numFmtId="0" fontId="22" fillId="3" borderId="12" xfId="0" applyFont="1" applyFill="1" applyBorder="1" applyAlignment="1">
      <alignment horizontal="center" vertical="center"/>
    </xf>
    <xf numFmtId="175" fontId="0" fillId="3" borderId="13" xfId="0" applyNumberFormat="1" applyFill="1" applyBorder="1" applyAlignment="1">
      <alignment horizontal="left" indent="1"/>
    </xf>
    <xf numFmtId="0" fontId="15" fillId="3" borderId="12" xfId="0" applyFont="1" applyFill="1" applyBorder="1" applyAlignment="1">
      <alignment horizontal="right" vertical="center" wrapText="1" indent="1"/>
    </xf>
    <xf numFmtId="3" fontId="53" fillId="0" borderId="4" xfId="0" applyNumberFormat="1" applyFont="1" applyFill="1" applyBorder="1" applyAlignment="1">
      <alignment horizontal="right" vertical="center"/>
    </xf>
    <xf numFmtId="0" fontId="16" fillId="0" borderId="4" xfId="0" applyFont="1" applyFill="1" applyBorder="1" applyAlignment="1">
      <alignment horizontal="center" vertical="center"/>
    </xf>
    <xf numFmtId="3" fontId="54" fillId="0" borderId="4" xfId="0" applyNumberFormat="1" applyFont="1" applyFill="1" applyBorder="1" applyAlignment="1">
      <alignment vertical="center" wrapText="1"/>
    </xf>
    <xf numFmtId="3" fontId="47" fillId="0" borderId="4" xfId="0" applyNumberFormat="1" applyFont="1" applyFill="1" applyBorder="1" applyAlignment="1">
      <alignment vertical="center" wrapText="1"/>
    </xf>
    <xf numFmtId="165" fontId="16" fillId="0" borderId="4" xfId="0" applyNumberFormat="1" applyFont="1" applyFill="1" applyBorder="1" applyAlignment="1">
      <alignment horizontal="right" vertical="center"/>
    </xf>
    <xf numFmtId="3" fontId="16" fillId="0" borderId="4" xfId="0" applyNumberFormat="1" applyFont="1" applyFill="1" applyBorder="1" applyAlignment="1">
      <alignment vertical="center"/>
    </xf>
    <xf numFmtId="0" fontId="8" fillId="0" borderId="12" xfId="0" applyFont="1" applyFill="1" applyBorder="1" applyAlignment="1">
      <alignment horizontal="left" vertical="center"/>
    </xf>
    <xf numFmtId="0" fontId="9" fillId="0" borderId="12" xfId="0" applyFont="1" applyFill="1" applyBorder="1" applyAlignment="1">
      <alignment horizontal="left" vertical="center"/>
    </xf>
    <xf numFmtId="0" fontId="12" fillId="0" borderId="12" xfId="0" applyFont="1" applyBorder="1" applyAlignment="1">
      <alignment horizontal="left" vertical="center"/>
    </xf>
    <xf numFmtId="165" fontId="2" fillId="0" borderId="12" xfId="0" applyNumberFormat="1" applyFont="1" applyFill="1" applyBorder="1" applyAlignment="1">
      <alignment horizontal="right" vertical="center" indent="1"/>
    </xf>
    <xf numFmtId="0" fontId="4" fillId="0" borderId="12" xfId="0" applyFont="1" applyBorder="1" applyAlignment="1">
      <alignment horizontal="left" vertical="center"/>
    </xf>
    <xf numFmtId="0" fontId="11" fillId="0" borderId="12" xfId="0" applyFont="1" applyBorder="1" applyAlignment="1">
      <alignment horizontal="left" vertical="center"/>
    </xf>
    <xf numFmtId="0" fontId="15" fillId="0" borderId="12" xfId="0" applyFont="1" applyBorder="1" applyAlignment="1">
      <alignment horizontal="left" vertical="center"/>
    </xf>
    <xf numFmtId="0" fontId="12" fillId="0" borderId="12" xfId="0" applyFont="1" applyBorder="1" applyAlignment="1">
      <alignment horizontal="left" vertical="center" indent="1"/>
    </xf>
    <xf numFmtId="0" fontId="15" fillId="0" borderId="12" xfId="0" applyFont="1" applyBorder="1" applyAlignment="1">
      <alignment horizontal="left" vertical="center" indent="1"/>
    </xf>
    <xf numFmtId="0" fontId="12" fillId="0" borderId="12" xfId="0" applyFont="1" applyBorder="1" applyAlignment="1">
      <alignment horizontal="left" vertical="center" wrapText="1" indent="1"/>
    </xf>
    <xf numFmtId="3" fontId="2" fillId="0" borderId="12" xfId="0" applyNumberFormat="1" applyFont="1" applyFill="1" applyBorder="1" applyAlignment="1" applyProtection="1">
      <alignment horizontal="left" vertical="center" wrapText="1" indent="1"/>
      <protection locked="0"/>
    </xf>
    <xf numFmtId="0" fontId="15" fillId="0" borderId="0" xfId="0" applyFont="1"/>
    <xf numFmtId="0" fontId="15" fillId="0" borderId="12" xfId="0" applyFont="1" applyFill="1" applyBorder="1" applyAlignment="1">
      <alignment horizontal="left" vertical="center" indent="1"/>
    </xf>
    <xf numFmtId="164" fontId="9" fillId="0" borderId="12" xfId="0" applyNumberFormat="1" applyFont="1" applyFill="1" applyBorder="1" applyAlignment="1">
      <alignment horizontal="right" vertical="center" indent="1"/>
    </xf>
    <xf numFmtId="2" fontId="2" fillId="3" borderId="12" xfId="0" applyNumberFormat="1" applyFont="1" applyFill="1" applyBorder="1" applyAlignment="1">
      <alignment horizontal="right" vertical="center" indent="1"/>
    </xf>
    <xf numFmtId="0" fontId="4" fillId="0" borderId="12" xfId="0" applyFont="1" applyBorder="1" applyAlignment="1">
      <alignment horizontal="left" vertical="center" wrapText="1"/>
    </xf>
    <xf numFmtId="4" fontId="8" fillId="3" borderId="12" xfId="7" applyNumberFormat="1" applyFont="1" applyFill="1" applyBorder="1" applyAlignment="1">
      <alignment horizontal="right" vertical="center" wrapText="1" indent="1"/>
    </xf>
    <xf numFmtId="1" fontId="8" fillId="3" borderId="13" xfId="0" applyNumberFormat="1" applyFont="1" applyFill="1" applyBorder="1" applyAlignment="1">
      <alignment horizontal="left" vertical="center" wrapText="1"/>
    </xf>
    <xf numFmtId="0" fontId="8" fillId="3" borderId="13" xfId="0" applyFont="1" applyFill="1" applyBorder="1" applyAlignment="1">
      <alignment vertical="center" wrapText="1"/>
    </xf>
    <xf numFmtId="0" fontId="8" fillId="3" borderId="12" xfId="0" applyFont="1" applyFill="1" applyBorder="1" applyAlignment="1">
      <alignment horizontal="left" vertical="center" wrapText="1" indent="1"/>
    </xf>
    <xf numFmtId="165" fontId="2" fillId="3" borderId="12" xfId="0" applyNumberFormat="1" applyFont="1" applyFill="1" applyBorder="1" applyAlignment="1" applyProtection="1">
      <alignment horizontal="right" vertical="center" wrapText="1"/>
    </xf>
    <xf numFmtId="1" fontId="2" fillId="3" borderId="12" xfId="0" applyNumberFormat="1" applyFont="1" applyFill="1" applyBorder="1" applyAlignment="1" applyProtection="1">
      <alignment vertical="center" wrapText="1"/>
      <protection locked="0"/>
    </xf>
    <xf numFmtId="4" fontId="12" fillId="3" borderId="12" xfId="0" applyNumberFormat="1" applyFont="1" applyFill="1" applyBorder="1" applyAlignment="1" applyProtection="1">
      <alignment horizontal="right" vertical="center" wrapText="1" indent="1"/>
      <protection locked="0"/>
    </xf>
    <xf numFmtId="4" fontId="12" fillId="3" borderId="12" xfId="0" applyNumberFormat="1" applyFont="1" applyFill="1" applyBorder="1" applyAlignment="1">
      <alignment horizontal="right" wrapText="1" indent="1"/>
    </xf>
    <xf numFmtId="165" fontId="3" fillId="3" borderId="13" xfId="0" applyNumberFormat="1" applyFont="1" applyFill="1" applyBorder="1" applyAlignment="1">
      <alignment horizontal="center" vertical="center" wrapText="1"/>
    </xf>
    <xf numFmtId="165" fontId="3" fillId="3" borderId="12" xfId="0" applyNumberFormat="1" applyFont="1" applyFill="1" applyBorder="1" applyAlignment="1">
      <alignment horizontal="center" vertical="center"/>
    </xf>
    <xf numFmtId="2" fontId="9" fillId="3" borderId="12" xfId="0" applyNumberFormat="1" applyFont="1" applyFill="1" applyBorder="1" applyAlignment="1">
      <alignment horizontal="right" vertical="center" wrapText="1" indent="1"/>
    </xf>
    <xf numFmtId="0" fontId="15" fillId="3" borderId="12" xfId="0" applyFont="1" applyFill="1" applyBorder="1" applyAlignment="1">
      <alignment horizontal="left" indent="1"/>
    </xf>
    <xf numFmtId="0" fontId="4" fillId="2" borderId="12" xfId="0" applyFont="1" applyFill="1" applyBorder="1" applyAlignment="1">
      <alignment horizontal="center" vertical="center" wrapText="1"/>
    </xf>
    <xf numFmtId="0" fontId="2" fillId="3" borderId="12" xfId="0" applyFont="1" applyFill="1" applyBorder="1" applyAlignment="1">
      <alignment horizontal="right" vertical="center"/>
    </xf>
    <xf numFmtId="0" fontId="12" fillId="0" borderId="12" xfId="0" applyFont="1" applyBorder="1" applyAlignment="1">
      <alignment horizontal="left" vertical="center" indent="1"/>
    </xf>
    <xf numFmtId="4" fontId="2" fillId="3" borderId="6" xfId="0" applyNumberFormat="1" applyFont="1" applyFill="1" applyBorder="1" applyAlignment="1">
      <alignment horizontal="right" vertical="center" indent="1"/>
    </xf>
    <xf numFmtId="4" fontId="8" fillId="3" borderId="12" xfId="0" applyNumberFormat="1" applyFont="1" applyFill="1" applyBorder="1" applyAlignment="1" applyProtection="1">
      <alignment horizontal="right" vertical="center" wrapText="1" indent="1"/>
      <protection locked="0"/>
    </xf>
    <xf numFmtId="165" fontId="12" fillId="3" borderId="12" xfId="0" applyNumberFormat="1" applyFont="1" applyFill="1" applyBorder="1" applyAlignment="1">
      <alignment horizontal="right" vertical="center"/>
    </xf>
    <xf numFmtId="0" fontId="12" fillId="3" borderId="8" xfId="0" applyFont="1" applyFill="1" applyBorder="1" applyAlignment="1">
      <alignment vertical="center" wrapText="1"/>
    </xf>
    <xf numFmtId="0" fontId="55" fillId="3" borderId="8" xfId="2" applyFont="1" applyFill="1" applyBorder="1" applyAlignment="1">
      <alignment horizontal="left" vertical="center"/>
    </xf>
    <xf numFmtId="0" fontId="55" fillId="3" borderId="14" xfId="2" applyFont="1" applyFill="1" applyBorder="1" applyAlignment="1">
      <alignment horizontal="left" vertical="center"/>
    </xf>
    <xf numFmtId="0" fontId="55" fillId="3" borderId="14" xfId="2" applyFont="1" applyFill="1" applyBorder="1" applyAlignment="1">
      <alignment vertical="center"/>
    </xf>
    <xf numFmtId="2" fontId="12" fillId="3" borderId="12" xfId="0" applyNumberFormat="1" applyFont="1" applyFill="1" applyBorder="1" applyAlignment="1">
      <alignment horizontal="right" vertical="center"/>
    </xf>
    <xf numFmtId="0" fontId="55" fillId="3" borderId="12" xfId="0" applyFont="1" applyFill="1" applyBorder="1" applyAlignment="1">
      <alignment vertical="center"/>
    </xf>
    <xf numFmtId="173" fontId="55" fillId="3" borderId="12" xfId="0" applyNumberFormat="1" applyFont="1" applyFill="1" applyBorder="1" applyAlignment="1">
      <alignment horizontal="left" vertical="center" indent="1"/>
    </xf>
    <xf numFmtId="0" fontId="4" fillId="3" borderId="12" xfId="0" applyFont="1" applyFill="1" applyBorder="1" applyAlignment="1">
      <alignment horizontal="left" vertical="center" indent="1"/>
    </xf>
    <xf numFmtId="0" fontId="8" fillId="3" borderId="12" xfId="0" applyFont="1" applyFill="1" applyBorder="1" applyAlignment="1">
      <alignment horizontal="left" vertical="center" indent="2"/>
    </xf>
    <xf numFmtId="3" fontId="12" fillId="3" borderId="12" xfId="0" applyNumberFormat="1" applyFont="1" applyFill="1" applyBorder="1" applyAlignment="1" applyProtection="1">
      <alignment horizontal="left" vertical="center" wrapText="1" indent="1"/>
      <protection locked="0"/>
    </xf>
    <xf numFmtId="4" fontId="55" fillId="3" borderId="12" xfId="14" applyNumberFormat="1" applyFont="1" applyFill="1" applyBorder="1" applyAlignment="1">
      <alignment horizontal="right" vertical="center" indent="1"/>
    </xf>
    <xf numFmtId="4" fontId="55" fillId="3" borderId="12" xfId="0" applyNumberFormat="1" applyFont="1" applyFill="1" applyBorder="1" applyAlignment="1">
      <alignment horizontal="right" vertical="center" indent="1"/>
    </xf>
    <xf numFmtId="4" fontId="8" fillId="3" borderId="12" xfId="0" applyNumberFormat="1" applyFont="1" applyFill="1" applyBorder="1" applyAlignment="1" applyProtection="1">
      <alignment horizontal="center" vertical="center" wrapText="1"/>
      <protection locked="0"/>
    </xf>
    <xf numFmtId="4" fontId="2" fillId="0" borderId="0" xfId="0" applyNumberFormat="1" applyFont="1" applyAlignment="1">
      <alignment horizontal="left" indent="1"/>
    </xf>
    <xf numFmtId="4" fontId="2" fillId="0" borderId="0" xfId="0" applyNumberFormat="1" applyFont="1" applyAlignment="1"/>
    <xf numFmtId="4" fontId="2" fillId="3" borderId="15" xfId="2" applyNumberFormat="1" applyFont="1" applyFill="1" applyBorder="1" applyAlignment="1">
      <alignment horizontal="right" vertical="center" indent="1"/>
    </xf>
    <xf numFmtId="4" fontId="2" fillId="3" borderId="14" xfId="2" applyNumberFormat="1" applyFont="1" applyFill="1" applyBorder="1" applyAlignment="1">
      <alignment horizontal="right" vertical="center" indent="1"/>
    </xf>
    <xf numFmtId="4" fontId="4" fillId="3" borderId="12" xfId="0" applyNumberFormat="1" applyFont="1" applyFill="1" applyBorder="1" applyAlignment="1" applyProtection="1">
      <alignment horizontal="right" vertical="center" wrapText="1" indent="1"/>
      <protection locked="0"/>
    </xf>
    <xf numFmtId="0" fontId="55" fillId="3" borderId="14" xfId="2" applyFont="1" applyFill="1" applyBorder="1" applyAlignment="1">
      <alignment horizontal="left" vertical="center" wrapText="1"/>
    </xf>
    <xf numFmtId="0" fontId="55" fillId="3" borderId="12" xfId="0" applyFont="1" applyFill="1" applyBorder="1" applyAlignment="1">
      <alignment vertical="center" wrapText="1"/>
    </xf>
    <xf numFmtId="4" fontId="9" fillId="3" borderId="10" xfId="0" applyNumberFormat="1" applyFont="1" applyFill="1" applyBorder="1" applyAlignment="1">
      <alignment horizontal="right" vertical="center" indent="1"/>
    </xf>
    <xf numFmtId="0" fontId="2" fillId="3" borderId="12" xfId="0" applyFont="1" applyFill="1" applyBorder="1" applyAlignment="1">
      <alignment horizontal="center" vertical="center"/>
    </xf>
    <xf numFmtId="3" fontId="12" fillId="3" borderId="12" xfId="1" applyNumberFormat="1" applyFont="1" applyFill="1" applyBorder="1" applyAlignment="1">
      <alignment horizontal="left" vertical="center" indent="1"/>
    </xf>
    <xf numFmtId="0" fontId="12" fillId="3" borderId="12" xfId="0" applyFont="1" applyFill="1" applyBorder="1" applyAlignment="1">
      <alignment horizontal="left" vertical="center" wrapText="1"/>
    </xf>
    <xf numFmtId="0" fontId="2" fillId="3" borderId="12" xfId="1" applyFont="1" applyFill="1" applyBorder="1" applyAlignment="1">
      <alignment horizontal="left" vertical="center" wrapText="1"/>
    </xf>
    <xf numFmtId="0" fontId="12" fillId="3" borderId="12" xfId="1" applyFont="1" applyFill="1" applyBorder="1" applyAlignment="1">
      <alignment horizontal="left" vertical="center" wrapText="1"/>
    </xf>
    <xf numFmtId="1" fontId="9" fillId="3" borderId="1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0" fontId="4" fillId="2" borderId="12" xfId="0" applyFont="1" applyFill="1" applyBorder="1" applyAlignment="1">
      <alignment horizontal="center" vertical="center" wrapText="1"/>
    </xf>
    <xf numFmtId="0" fontId="2" fillId="3" borderId="12" xfId="0" applyFont="1" applyFill="1" applyBorder="1" applyAlignment="1">
      <alignment wrapText="1"/>
    </xf>
    <xf numFmtId="4" fontId="8" fillId="3" borderId="12" xfId="0" applyNumberFormat="1" applyFont="1" applyFill="1" applyBorder="1" applyAlignment="1">
      <alignment horizontal="left" vertical="center" wrapText="1" indent="2"/>
    </xf>
    <xf numFmtId="0" fontId="9" fillId="3" borderId="12" xfId="0" applyFont="1" applyFill="1" applyBorder="1" applyAlignment="1">
      <alignment horizontal="left" vertical="center" wrapText="1" indent="2"/>
    </xf>
    <xf numFmtId="0" fontId="2" fillId="3" borderId="12" xfId="0" applyFont="1" applyFill="1" applyBorder="1" applyAlignment="1">
      <alignment horizontal="left" vertical="center" indent="2"/>
    </xf>
    <xf numFmtId="4" fontId="4" fillId="3" borderId="12" xfId="0" applyNumberFormat="1" applyFont="1" applyFill="1" applyBorder="1" applyAlignment="1">
      <alignment horizontal="center" vertical="center"/>
    </xf>
    <xf numFmtId="4" fontId="2" fillId="3" borderId="12" xfId="0" applyNumberFormat="1" applyFont="1" applyFill="1" applyBorder="1" applyAlignment="1">
      <alignment horizontal="center" vertical="center"/>
    </xf>
    <xf numFmtId="4" fontId="8" fillId="3" borderId="12" xfId="0" applyNumberFormat="1" applyFont="1" applyFill="1" applyBorder="1" applyAlignment="1">
      <alignment horizontal="center" vertical="center"/>
    </xf>
    <xf numFmtId="3" fontId="12" fillId="3" borderId="12" xfId="0" applyNumberFormat="1" applyFont="1" applyFill="1" applyBorder="1" applyAlignment="1" applyProtection="1">
      <alignment horizontal="right" vertical="center" wrapText="1" indent="1"/>
      <protection locked="0"/>
    </xf>
    <xf numFmtId="3" fontId="12" fillId="5" borderId="12" xfId="0" applyNumberFormat="1" applyFont="1" applyFill="1" applyBorder="1" applyAlignment="1">
      <alignment horizontal="right" vertical="center" indent="1"/>
    </xf>
    <xf numFmtId="3" fontId="55" fillId="3" borderId="12" xfId="0" applyNumberFormat="1" applyFont="1" applyFill="1" applyBorder="1" applyAlignment="1">
      <alignment horizontal="right" vertical="center" indent="1"/>
    </xf>
    <xf numFmtId="3" fontId="55" fillId="3" borderId="12" xfId="14" applyNumberFormat="1" applyFont="1" applyFill="1" applyBorder="1" applyAlignment="1">
      <alignment horizontal="right" vertical="center" indent="1"/>
    </xf>
    <xf numFmtId="0" fontId="4" fillId="2" borderId="12" xfId="0" applyFont="1" applyFill="1" applyBorder="1" applyAlignment="1">
      <alignment horizontal="center" vertical="center" wrapText="1"/>
    </xf>
    <xf numFmtId="4" fontId="4" fillId="3" borderId="12" xfId="0" applyNumberFormat="1" applyFont="1" applyFill="1" applyBorder="1" applyAlignment="1">
      <alignment horizontal="left" vertical="center"/>
    </xf>
    <xf numFmtId="0" fontId="4" fillId="3" borderId="12" xfId="0" applyFont="1" applyFill="1" applyBorder="1" applyAlignment="1">
      <alignment horizontal="right" vertical="center" indent="1"/>
    </xf>
    <xf numFmtId="164" fontId="12" fillId="3" borderId="12" xfId="0" applyNumberFormat="1" applyFont="1" applyFill="1" applyBorder="1" applyAlignment="1" applyProtection="1">
      <alignment horizontal="right" vertical="center" wrapText="1" indent="1"/>
      <protection locked="0"/>
    </xf>
    <xf numFmtId="3" fontId="12" fillId="3" borderId="12" xfId="0" applyNumberFormat="1" applyFont="1" applyFill="1" applyBorder="1" applyAlignment="1" applyProtection="1">
      <alignment horizontal="right" vertical="center" indent="1"/>
      <protection locked="0"/>
    </xf>
    <xf numFmtId="0" fontId="12" fillId="0" borderId="12" xfId="0" applyFont="1" applyFill="1" applyBorder="1" applyAlignment="1">
      <alignment horizontal="left" vertical="center" wrapText="1" indent="1"/>
    </xf>
    <xf numFmtId="0" fontId="2" fillId="3" borderId="12" xfId="0" applyFont="1" applyFill="1" applyBorder="1" applyAlignment="1">
      <alignment vertical="center" wrapText="1"/>
    </xf>
    <xf numFmtId="0" fontId="2" fillId="3" borderId="12" xfId="0" applyFont="1" applyFill="1" applyBorder="1" applyAlignment="1">
      <alignment horizontal="right" vertical="center" indent="2"/>
    </xf>
    <xf numFmtId="0" fontId="60" fillId="3" borderId="12" xfId="0" applyFont="1" applyFill="1" applyBorder="1" applyAlignment="1">
      <alignment vertical="center" wrapText="1"/>
    </xf>
    <xf numFmtId="3" fontId="9" fillId="3" borderId="12" xfId="0" applyNumberFormat="1" applyFont="1" applyFill="1" applyBorder="1" applyAlignment="1">
      <alignment horizontal="left" vertical="center"/>
    </xf>
    <xf numFmtId="0" fontId="13" fillId="0" borderId="12" xfId="0" applyFont="1" applyFill="1" applyBorder="1" applyAlignment="1">
      <alignment vertical="top" wrapText="1"/>
    </xf>
    <xf numFmtId="0" fontId="8" fillId="3" borderId="12" xfId="0" applyFont="1" applyFill="1" applyBorder="1" applyAlignment="1">
      <alignment horizontal="left" vertical="center" wrapText="1"/>
    </xf>
    <xf numFmtId="0" fontId="12" fillId="3" borderId="10" xfId="0" applyFont="1" applyFill="1" applyBorder="1" applyAlignment="1">
      <alignment horizontal="left" vertical="center" wrapText="1" indent="1"/>
    </xf>
    <xf numFmtId="0" fontId="12" fillId="3" borderId="9" xfId="0" applyFont="1" applyFill="1" applyBorder="1" applyAlignment="1">
      <alignment horizontal="left" vertical="center" wrapText="1" indent="1"/>
    </xf>
    <xf numFmtId="0" fontId="2" fillId="3" borderId="10" xfId="0" applyFont="1" applyFill="1" applyBorder="1" applyAlignment="1">
      <alignment horizontal="left" vertical="center" indent="1"/>
    </xf>
    <xf numFmtId="0" fontId="2" fillId="3" borderId="9" xfId="0" applyFont="1" applyFill="1" applyBorder="1" applyAlignment="1">
      <alignment horizontal="left" vertical="center" indent="1"/>
    </xf>
    <xf numFmtId="0" fontId="2" fillId="3" borderId="9" xfId="0" applyFont="1" applyFill="1" applyBorder="1" applyAlignment="1">
      <alignment horizontal="center" vertical="center"/>
    </xf>
    <xf numFmtId="0" fontId="2" fillId="3" borderId="12" xfId="0" applyFont="1" applyFill="1" applyBorder="1" applyAlignment="1">
      <alignment vertical="center" wrapText="1"/>
    </xf>
    <xf numFmtId="0" fontId="12" fillId="3" borderId="12" xfId="0" applyFont="1" applyFill="1" applyBorder="1" applyAlignment="1">
      <alignment vertical="center" wrapText="1"/>
    </xf>
    <xf numFmtId="0" fontId="12" fillId="3" borderId="9" xfId="0" applyFont="1" applyFill="1" applyBorder="1" applyAlignment="1">
      <alignment horizontal="left" vertical="center" wrapText="1"/>
    </xf>
    <xf numFmtId="0" fontId="12" fillId="3" borderId="12" xfId="0" applyFont="1" applyFill="1" applyBorder="1" applyAlignment="1">
      <alignment horizontal="left" vertical="center" wrapText="1" indent="1"/>
    </xf>
    <xf numFmtId="0" fontId="2" fillId="3" borderId="12" xfId="0" applyFont="1" applyFill="1" applyBorder="1" applyAlignment="1">
      <alignment vertical="center" wrapText="1"/>
    </xf>
    <xf numFmtId="0" fontId="8" fillId="3" borderId="13" xfId="0" applyFont="1" applyFill="1" applyBorder="1" applyAlignment="1">
      <alignment vertical="center"/>
    </xf>
    <xf numFmtId="0" fontId="16" fillId="3" borderId="12" xfId="0" applyFont="1" applyFill="1" applyBorder="1"/>
    <xf numFmtId="0" fontId="16" fillId="3" borderId="12" xfId="0" applyFont="1" applyFill="1" applyBorder="1" applyAlignment="1">
      <alignment horizontal="left" indent="1"/>
    </xf>
    <xf numFmtId="2" fontId="2" fillId="3" borderId="10" xfId="0" applyNumberFormat="1" applyFont="1" applyFill="1" applyBorder="1" applyAlignment="1">
      <alignment horizontal="right" vertical="center" indent="1"/>
    </xf>
    <xf numFmtId="0" fontId="2" fillId="3" borderId="11" xfId="0" applyFont="1" applyFill="1" applyBorder="1" applyAlignment="1">
      <alignment horizontal="left" vertical="center" indent="1"/>
    </xf>
    <xf numFmtId="0" fontId="11" fillId="3" borderId="12" xfId="0" applyFont="1" applyFill="1" applyBorder="1" applyAlignment="1">
      <alignment horizontal="left" vertical="center" wrapText="1" indent="1"/>
    </xf>
    <xf numFmtId="171" fontId="2" fillId="3" borderId="12" xfId="0" applyNumberFormat="1" applyFont="1" applyFill="1" applyBorder="1" applyAlignment="1">
      <alignment horizontal="right" vertical="center" indent="1"/>
    </xf>
    <xf numFmtId="0" fontId="2" fillId="3" borderId="12" xfId="0" applyFont="1" applyFill="1" applyBorder="1" applyAlignment="1">
      <alignment horizontal="right" indent="2"/>
    </xf>
    <xf numFmtId="0" fontId="15" fillId="3" borderId="12" xfId="0" applyFont="1" applyFill="1" applyBorder="1"/>
    <xf numFmtId="0" fontId="15" fillId="3" borderId="12" xfId="0" applyFont="1" applyFill="1" applyBorder="1" applyAlignment="1">
      <alignment horizontal="center"/>
    </xf>
    <xf numFmtId="2" fontId="15" fillId="3" borderId="10" xfId="0" applyNumberFormat="1" applyFont="1" applyFill="1" applyBorder="1" applyAlignment="1">
      <alignment horizontal="right" vertical="center" indent="1"/>
    </xf>
    <xf numFmtId="0" fontId="30" fillId="3" borderId="12" xfId="0" applyFont="1" applyFill="1" applyBorder="1" applyAlignment="1">
      <alignment horizontal="left" vertical="center"/>
    </xf>
    <xf numFmtId="0" fontId="29" fillId="3" borderId="12" xfId="0" applyFont="1" applyFill="1" applyBorder="1" applyAlignment="1">
      <alignment vertical="center" wrapText="1"/>
    </xf>
    <xf numFmtId="0" fontId="29" fillId="3" borderId="12" xfId="0" applyFont="1" applyFill="1" applyBorder="1" applyAlignment="1">
      <alignment horizontal="left" vertical="center" wrapText="1" indent="1"/>
    </xf>
    <xf numFmtId="0" fontId="29" fillId="3" borderId="12" xfId="0" applyFont="1" applyFill="1" applyBorder="1" applyAlignment="1">
      <alignment horizontal="left" vertical="center" indent="1"/>
    </xf>
    <xf numFmtId="4" fontId="29" fillId="3" borderId="12" xfId="0" applyNumberFormat="1" applyFont="1" applyFill="1" applyBorder="1" applyAlignment="1">
      <alignment horizontal="right" vertical="center" indent="1"/>
    </xf>
    <xf numFmtId="0" fontId="31" fillId="3" borderId="12" xfId="0" applyFont="1" applyFill="1" applyBorder="1" applyAlignment="1">
      <alignment vertical="center" wrapText="1"/>
    </xf>
    <xf numFmtId="0" fontId="31" fillId="3" borderId="12" xfId="0" applyFont="1" applyFill="1" applyBorder="1" applyAlignment="1">
      <alignment horizontal="left" vertical="center" wrapText="1" indent="1"/>
    </xf>
    <xf numFmtId="3" fontId="31" fillId="3" borderId="12" xfId="0" applyNumberFormat="1" applyFont="1" applyFill="1" applyBorder="1" applyAlignment="1">
      <alignment horizontal="right" vertical="center" indent="1"/>
    </xf>
    <xf numFmtId="3" fontId="9" fillId="3" borderId="12" xfId="0" applyNumberFormat="1" applyFont="1" applyFill="1" applyBorder="1" applyAlignment="1">
      <alignment horizontal="left" vertical="center" wrapText="1"/>
    </xf>
    <xf numFmtId="0" fontId="2" fillId="3" borderId="0" xfId="0" applyFont="1" applyFill="1" applyAlignment="1">
      <alignment vertical="center"/>
    </xf>
    <xf numFmtId="0" fontId="12" fillId="3" borderId="12" xfId="0" quotePrefix="1" applyFont="1" applyFill="1" applyBorder="1" applyAlignment="1">
      <alignment horizontal="left" vertical="center" wrapText="1" indent="1"/>
    </xf>
    <xf numFmtId="3" fontId="24" fillId="3" borderId="12" xfId="0" applyNumberFormat="1" applyFont="1" applyFill="1" applyBorder="1" applyAlignment="1">
      <alignment horizontal="right" vertical="center" wrapText="1" indent="1"/>
    </xf>
    <xf numFmtId="4" fontId="24" fillId="3" borderId="12" xfId="0" applyNumberFormat="1" applyFont="1" applyFill="1" applyBorder="1" applyAlignment="1">
      <alignment horizontal="right" vertical="center" wrapText="1" indent="1"/>
    </xf>
    <xf numFmtId="49" fontId="2" fillId="3" borderId="12" xfId="0" applyNumberFormat="1" applyFont="1" applyFill="1" applyBorder="1" applyAlignment="1">
      <alignment horizontal="right" vertical="center" wrapText="1" indent="1"/>
    </xf>
    <xf numFmtId="173" fontId="2" fillId="3" borderId="12" xfId="0" applyNumberFormat="1" applyFont="1" applyFill="1" applyBorder="1" applyAlignment="1">
      <alignment horizontal="right" vertical="center" wrapText="1" indent="1"/>
    </xf>
    <xf numFmtId="1" fontId="3" fillId="3" borderId="12" xfId="0" applyNumberFormat="1" applyFont="1" applyFill="1" applyBorder="1" applyAlignment="1">
      <alignment horizontal="left" vertical="center"/>
    </xf>
    <xf numFmtId="0" fontId="2" fillId="3" borderId="12" xfId="0" applyFont="1" applyFill="1" applyBorder="1" applyAlignment="1">
      <alignment horizontal="right" vertical="center" wrapText="1" indent="1"/>
    </xf>
    <xf numFmtId="178" fontId="2" fillId="3" borderId="12" xfId="0" applyNumberFormat="1" applyFont="1" applyFill="1" applyBorder="1" applyAlignment="1">
      <alignment horizontal="right" vertical="center" indent="1"/>
    </xf>
    <xf numFmtId="3" fontId="40" fillId="3" borderId="12" xfId="0" applyNumberFormat="1" applyFont="1" applyFill="1" applyBorder="1" applyAlignment="1">
      <alignment horizontal="right" vertical="center" wrapText="1" indent="1"/>
    </xf>
    <xf numFmtId="0" fontId="12" fillId="3" borderId="12" xfId="0" applyFont="1" applyFill="1" applyBorder="1" applyAlignment="1">
      <alignment horizontal="right" vertical="center" wrapText="1"/>
    </xf>
    <xf numFmtId="0" fontId="12" fillId="3" borderId="14" xfId="0" applyFont="1" applyFill="1" applyBorder="1" applyAlignment="1">
      <alignment horizontal="left" vertical="center" wrapText="1"/>
    </xf>
    <xf numFmtId="0" fontId="2" fillId="3" borderId="0" xfId="0" applyFont="1" applyFill="1" applyAlignment="1">
      <alignment horizontal="right" vertical="center"/>
    </xf>
    <xf numFmtId="0" fontId="2" fillId="3" borderId="13" xfId="0" applyFont="1" applyFill="1" applyBorder="1" applyAlignment="1">
      <alignment vertical="center"/>
    </xf>
    <xf numFmtId="0" fontId="3" fillId="3" borderId="13" xfId="0" applyFont="1" applyFill="1" applyBorder="1" applyAlignment="1">
      <alignment vertical="center"/>
    </xf>
    <xf numFmtId="0" fontId="2" fillId="3" borderId="16" xfId="0" applyFont="1" applyFill="1" applyBorder="1" applyAlignment="1">
      <alignment vertical="center"/>
    </xf>
    <xf numFmtId="3" fontId="12" fillId="3" borderId="12" xfId="0" applyNumberFormat="1" applyFont="1" applyFill="1" applyBorder="1" applyAlignment="1">
      <alignment horizontal="left" vertical="center" indent="1"/>
    </xf>
    <xf numFmtId="0" fontId="3" fillId="3" borderId="0" xfId="0" applyFont="1" applyFill="1" applyAlignment="1">
      <alignment horizontal="left" vertical="center"/>
    </xf>
    <xf numFmtId="0" fontId="4" fillId="3" borderId="13" xfId="0" applyFont="1" applyFill="1" applyBorder="1" applyAlignment="1">
      <alignment vertical="center"/>
    </xf>
    <xf numFmtId="0" fontId="2" fillId="3" borderId="10" xfId="0" applyFont="1" applyFill="1" applyBorder="1" applyAlignment="1">
      <alignment horizontal="left" vertical="center" wrapText="1" indent="1"/>
    </xf>
    <xf numFmtId="3" fontId="12" fillId="3" borderId="10" xfId="0" applyNumberFormat="1" applyFont="1" applyFill="1" applyBorder="1" applyAlignment="1">
      <alignment horizontal="left" vertical="center" wrapText="1" indent="1"/>
    </xf>
    <xf numFmtId="3" fontId="59" fillId="3" borderId="12" xfId="0" applyNumberFormat="1" applyFont="1" applyFill="1" applyBorder="1" applyAlignment="1">
      <alignment horizontal="left" vertical="center" wrapText="1" indent="1"/>
    </xf>
    <xf numFmtId="2" fontId="31" fillId="3" borderId="12" xfId="0" applyNumberFormat="1" applyFont="1" applyFill="1" applyBorder="1" applyAlignment="1">
      <alignment horizontal="right" vertical="center" wrapText="1" indent="1"/>
    </xf>
    <xf numFmtId="3" fontId="29" fillId="3" borderId="12" xfId="0" applyNumberFormat="1" applyFont="1" applyFill="1" applyBorder="1" applyAlignment="1">
      <alignment horizontal="left" vertical="center" indent="1"/>
    </xf>
    <xf numFmtId="3" fontId="23" fillId="3" borderId="12" xfId="0" applyNumberFormat="1" applyFont="1" applyFill="1" applyBorder="1" applyAlignment="1">
      <alignment horizontal="left" vertical="center" wrapText="1" indent="1"/>
    </xf>
    <xf numFmtId="0" fontId="3" fillId="3" borderId="0" xfId="0" applyFont="1" applyFill="1" applyAlignment="1">
      <alignment vertical="center" wrapText="1"/>
    </xf>
    <xf numFmtId="2" fontId="3" fillId="3" borderId="12" xfId="0" applyNumberFormat="1" applyFont="1" applyFill="1" applyBorder="1" applyAlignment="1">
      <alignment horizontal="right" vertical="center" indent="1"/>
    </xf>
    <xf numFmtId="0" fontId="11" fillId="3" borderId="12" xfId="0" applyFont="1" applyFill="1" applyBorder="1" applyAlignment="1">
      <alignment vertical="center" wrapText="1"/>
    </xf>
    <xf numFmtId="0" fontId="3" fillId="3" borderId="12" xfId="0" applyFont="1" applyFill="1" applyBorder="1" applyAlignment="1">
      <alignment horizontal="center"/>
    </xf>
    <xf numFmtId="0" fontId="3" fillId="3" borderId="12" xfId="0" applyFont="1" applyFill="1" applyBorder="1" applyAlignment="1">
      <alignment horizontal="left" indent="1"/>
    </xf>
    <xf numFmtId="0" fontId="2" fillId="3" borderId="14" xfId="0" applyFont="1" applyFill="1" applyBorder="1" applyAlignment="1">
      <alignment horizontal="left" vertical="center" wrapText="1"/>
    </xf>
    <xf numFmtId="177" fontId="2" fillId="3" borderId="12" xfId="11" applyNumberFormat="1" applyFont="1" applyFill="1" applyBorder="1" applyAlignment="1">
      <alignment horizontal="right" vertical="center" wrapText="1" indent="1"/>
    </xf>
    <xf numFmtId="2" fontId="2" fillId="3" borderId="12" xfId="0" applyNumberFormat="1" applyFont="1" applyFill="1" applyBorder="1" applyAlignment="1">
      <alignment horizontal="right" vertical="center"/>
    </xf>
    <xf numFmtId="2" fontId="4" fillId="3" borderId="12" xfId="0" applyNumberFormat="1" applyFont="1" applyFill="1" applyBorder="1" applyAlignment="1">
      <alignment horizontal="right" vertical="center" wrapText="1" indent="1"/>
    </xf>
    <xf numFmtId="0" fontId="2" fillId="3" borderId="0" xfId="0" applyFont="1" applyFill="1" applyAlignment="1">
      <alignment horizontal="left"/>
    </xf>
    <xf numFmtId="0" fontId="41" fillId="3" borderId="12" xfId="0" applyFont="1" applyFill="1" applyBorder="1" applyAlignment="1">
      <alignment horizontal="left" vertical="center" wrapText="1" indent="1"/>
    </xf>
    <xf numFmtId="0" fontId="41" fillId="3" borderId="12" xfId="0" applyFont="1" applyFill="1" applyBorder="1" applyAlignment="1">
      <alignment horizontal="left" vertical="center" indent="1"/>
    </xf>
    <xf numFmtId="0" fontId="41" fillId="3" borderId="12" xfId="0" applyFont="1" applyFill="1" applyBorder="1" applyAlignment="1">
      <alignment horizontal="right" vertical="center" indent="1"/>
    </xf>
    <xf numFmtId="2" fontId="41" fillId="3" borderId="12" xfId="0" applyNumberFormat="1" applyFont="1" applyFill="1" applyBorder="1" applyAlignment="1">
      <alignment horizontal="right" vertical="center" wrapText="1" indent="1"/>
    </xf>
    <xf numFmtId="0" fontId="4" fillId="3" borderId="16" xfId="0" applyFont="1" applyFill="1" applyBorder="1" applyAlignment="1">
      <alignment horizontal="left" vertical="center" wrapText="1" indent="1"/>
    </xf>
    <xf numFmtId="0" fontId="2" fillId="3" borderId="12" xfId="0" applyFont="1" applyFill="1" applyBorder="1" applyAlignment="1">
      <alignment horizontal="left" vertical="center" wrapText="1"/>
    </xf>
    <xf numFmtId="0" fontId="3" fillId="3"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6" xfId="0" applyFont="1" applyFill="1" applyBorder="1" applyAlignment="1">
      <alignment vertical="center" wrapText="1"/>
    </xf>
    <xf numFmtId="0" fontId="12" fillId="3" borderId="13"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3" borderId="13" xfId="0" applyFont="1" applyFill="1" applyBorder="1" applyAlignment="1">
      <alignment vertical="center" wrapText="1"/>
    </xf>
    <xf numFmtId="0" fontId="3" fillId="3" borderId="13" xfId="0" applyFont="1" applyFill="1" applyBorder="1" applyAlignment="1">
      <alignment horizontal="center" vertical="center"/>
    </xf>
    <xf numFmtId="0" fontId="3" fillId="3" borderId="16" xfId="0" applyFont="1" applyFill="1" applyBorder="1" applyAlignment="1">
      <alignment vertical="center" wrapText="1"/>
    </xf>
    <xf numFmtId="0" fontId="12" fillId="3" borderId="13" xfId="0" applyFont="1" applyFill="1" applyBorder="1" applyAlignment="1">
      <alignment horizontal="left" vertical="center" wrapText="1"/>
    </xf>
    <xf numFmtId="0" fontId="12" fillId="3" borderId="12" xfId="2" applyFont="1" applyFill="1" applyBorder="1" applyAlignment="1">
      <alignment horizontal="left" vertical="center" wrapText="1" indent="1"/>
    </xf>
    <xf numFmtId="0" fontId="2" fillId="3" borderId="12" xfId="0" applyFont="1" applyFill="1" applyBorder="1" applyAlignment="1">
      <alignment horizontal="left"/>
    </xf>
    <xf numFmtId="0" fontId="13" fillId="3" borderId="12" xfId="0" applyFont="1" applyFill="1" applyBorder="1" applyAlignment="1">
      <alignment horizontal="justify" vertical="center" wrapText="1"/>
    </xf>
    <xf numFmtId="0" fontId="2" fillId="3" borderId="12" xfId="0" applyFont="1" applyFill="1" applyBorder="1" applyAlignment="1"/>
    <xf numFmtId="0" fontId="3" fillId="3" borderId="12" xfId="0" applyFont="1" applyFill="1" applyBorder="1" applyAlignment="1">
      <alignment horizontal="left" vertical="center"/>
    </xf>
    <xf numFmtId="0" fontId="2" fillId="3" borderId="12" xfId="0" applyFont="1" applyFill="1" applyBorder="1" applyAlignment="1">
      <alignment horizontal="left" vertical="center" indent="1"/>
    </xf>
    <xf numFmtId="43" fontId="2" fillId="3" borderId="12" xfId="0" applyNumberFormat="1" applyFont="1" applyFill="1" applyBorder="1" applyAlignment="1">
      <alignment vertical="center"/>
    </xf>
    <xf numFmtId="0" fontId="2" fillId="3" borderId="12" xfId="0" applyFont="1" applyFill="1" applyBorder="1" applyAlignment="1">
      <alignment horizontal="left" wrapText="1" indent="1"/>
    </xf>
    <xf numFmtId="171" fontId="8" fillId="3" borderId="12" xfId="0" applyNumberFormat="1" applyFont="1" applyFill="1" applyBorder="1" applyAlignment="1">
      <alignment horizontal="right" vertical="center" indent="1"/>
    </xf>
    <xf numFmtId="3" fontId="2" fillId="3" borderId="12" xfId="11" applyNumberFormat="1" applyFont="1" applyFill="1" applyBorder="1" applyAlignment="1">
      <alignment horizontal="right" vertical="center" wrapText="1" indent="1"/>
    </xf>
    <xf numFmtId="4" fontId="2" fillId="3" borderId="12" xfId="11" applyNumberFormat="1" applyFont="1" applyFill="1" applyBorder="1" applyAlignment="1">
      <alignment horizontal="right" vertical="center" wrapText="1" indent="1"/>
    </xf>
    <xf numFmtId="0" fontId="2" fillId="3" borderId="11" xfId="0" applyFont="1" applyFill="1" applyBorder="1" applyAlignment="1">
      <alignment horizontal="left" vertical="center" wrapText="1"/>
    </xf>
    <xf numFmtId="0" fontId="2" fillId="3" borderId="0" xfId="0" applyFont="1" applyFill="1" applyAlignment="1">
      <alignment horizontal="left" vertical="center" indent="1"/>
    </xf>
    <xf numFmtId="4" fontId="29" fillId="3" borderId="12" xfId="0" applyNumberFormat="1" applyFont="1" applyFill="1" applyBorder="1" applyAlignment="1">
      <alignment horizontal="right" vertical="center" indent="2"/>
    </xf>
    <xf numFmtId="3" fontId="2" fillId="3" borderId="11" xfId="0" applyNumberFormat="1" applyFont="1" applyFill="1" applyBorder="1" applyAlignment="1">
      <alignment horizontal="right" vertical="center" indent="1"/>
    </xf>
    <xf numFmtId="4" fontId="2" fillId="3" borderId="11" xfId="0" applyNumberFormat="1" applyFont="1" applyFill="1" applyBorder="1" applyAlignment="1">
      <alignment horizontal="right" vertical="center" indent="1"/>
    </xf>
    <xf numFmtId="43" fontId="2" fillId="3" borderId="14" xfId="0" applyNumberFormat="1" applyFont="1" applyFill="1" applyBorder="1" applyAlignment="1">
      <alignment horizontal="left" vertical="center" indent="1"/>
    </xf>
    <xf numFmtId="3" fontId="2" fillId="3" borderId="12" xfId="0" applyNumberFormat="1" applyFont="1" applyFill="1" applyBorder="1" applyAlignment="1">
      <alignment horizontal="right" vertical="center"/>
    </xf>
    <xf numFmtId="4" fontId="2" fillId="3" borderId="12" xfId="0" applyNumberFormat="1" applyFont="1" applyFill="1" applyBorder="1" applyAlignment="1">
      <alignment horizontal="right" vertical="center"/>
    </xf>
    <xf numFmtId="4" fontId="2" fillId="3" borderId="12" xfId="0" applyNumberFormat="1" applyFont="1" applyFill="1" applyBorder="1" applyAlignment="1">
      <alignment horizontal="right" vertical="center" wrapText="1" indent="2"/>
    </xf>
    <xf numFmtId="0" fontId="2" fillId="3" borderId="11" xfId="0" applyFont="1" applyFill="1" applyBorder="1" applyAlignment="1">
      <alignment vertical="center" wrapText="1"/>
    </xf>
    <xf numFmtId="43" fontId="2" fillId="3" borderId="11" xfId="0" applyNumberFormat="1" applyFont="1" applyFill="1" applyBorder="1" applyAlignment="1">
      <alignment horizontal="left" vertical="center" indent="1"/>
    </xf>
    <xf numFmtId="4" fontId="2" fillId="3" borderId="10" xfId="0" applyNumberFormat="1" applyFont="1" applyFill="1" applyBorder="1" applyAlignment="1">
      <alignment horizontal="right" vertical="center" indent="1"/>
    </xf>
    <xf numFmtId="43" fontId="2" fillId="3" borderId="12" xfId="0" applyNumberFormat="1" applyFont="1" applyFill="1" applyBorder="1" applyAlignment="1">
      <alignment horizontal="right" vertical="center"/>
    </xf>
    <xf numFmtId="4" fontId="15" fillId="3" borderId="12" xfId="0" applyNumberFormat="1" applyFont="1" applyFill="1" applyBorder="1" applyAlignment="1">
      <alignment horizontal="right" indent="1"/>
    </xf>
    <xf numFmtId="4" fontId="15" fillId="3" borderId="12" xfId="0" applyNumberFormat="1" applyFont="1" applyFill="1" applyBorder="1" applyAlignment="1">
      <alignment horizontal="right" indent="2"/>
    </xf>
    <xf numFmtId="3" fontId="29" fillId="3" borderId="12" xfId="0" applyNumberFormat="1" applyFont="1" applyFill="1" applyBorder="1" applyAlignment="1">
      <alignment horizontal="right" vertical="center" indent="1"/>
    </xf>
    <xf numFmtId="3" fontId="2" fillId="3" borderId="10" xfId="0" applyNumberFormat="1" applyFont="1" applyFill="1" applyBorder="1" applyAlignment="1">
      <alignment horizontal="right" vertical="center" indent="1"/>
    </xf>
    <xf numFmtId="4" fontId="2" fillId="3" borderId="0" xfId="0" applyNumberFormat="1" applyFont="1" applyFill="1" applyAlignment="1">
      <alignment horizontal="right" vertical="center" indent="1"/>
    </xf>
    <xf numFmtId="0" fontId="29" fillId="3" borderId="12" xfId="0" applyFont="1" applyFill="1" applyBorder="1" applyAlignment="1">
      <alignment horizontal="left" vertical="center" wrapText="1"/>
    </xf>
    <xf numFmtId="0" fontId="2" fillId="3" borderId="14" xfId="0" applyFont="1" applyFill="1" applyBorder="1" applyAlignment="1">
      <alignment horizontal="left" vertical="center" indent="1"/>
    </xf>
    <xf numFmtId="0" fontId="8" fillId="3" borderId="1" xfId="0" applyFont="1" applyFill="1" applyBorder="1" applyAlignment="1">
      <alignment vertical="center"/>
    </xf>
    <xf numFmtId="3" fontId="8" fillId="3" borderId="10" xfId="0" applyNumberFormat="1" applyFont="1" applyFill="1" applyBorder="1" applyAlignment="1">
      <alignment horizontal="right" vertical="center" indent="1"/>
    </xf>
    <xf numFmtId="4" fontId="8" fillId="3" borderId="10" xfId="0" applyNumberFormat="1" applyFont="1" applyFill="1" applyBorder="1" applyAlignment="1">
      <alignment horizontal="right" vertical="center" indent="1"/>
    </xf>
    <xf numFmtId="4" fontId="2" fillId="3" borderId="12" xfId="0" applyNumberFormat="1" applyFont="1" applyFill="1" applyBorder="1" applyAlignment="1">
      <alignment horizontal="right" vertical="center" indent="3"/>
    </xf>
    <xf numFmtId="4" fontId="2" fillId="3" borderId="9" xfId="0" applyNumberFormat="1" applyFont="1" applyFill="1" applyBorder="1" applyAlignment="1">
      <alignment horizontal="right" vertical="center" indent="2"/>
    </xf>
    <xf numFmtId="4" fontId="15" fillId="3" borderId="12" xfId="0" applyNumberFormat="1" applyFont="1" applyFill="1" applyBorder="1" applyAlignment="1">
      <alignment horizontal="right" vertical="center" indent="2"/>
    </xf>
    <xf numFmtId="0" fontId="30" fillId="3" borderId="12" xfId="0" applyFont="1" applyFill="1" applyBorder="1" applyAlignment="1">
      <alignment horizontal="left" vertical="center"/>
    </xf>
    <xf numFmtId="0" fontId="29" fillId="3" borderId="0" xfId="0" applyFont="1" applyFill="1"/>
    <xf numFmtId="172" fontId="8" fillId="3" borderId="12" xfId="0" applyNumberFormat="1" applyFont="1" applyFill="1" applyBorder="1" applyAlignment="1">
      <alignment horizontal="right" vertical="center" indent="1"/>
    </xf>
    <xf numFmtId="0" fontId="29" fillId="3" borderId="12" xfId="0" applyFont="1" applyFill="1" applyBorder="1"/>
    <xf numFmtId="0" fontId="43" fillId="3" borderId="12" xfId="0" applyFont="1" applyFill="1" applyBorder="1" applyAlignment="1">
      <alignment vertical="center"/>
    </xf>
    <xf numFmtId="0" fontId="29" fillId="3" borderId="12" xfId="0" applyFont="1" applyFill="1" applyBorder="1" applyAlignment="1">
      <alignment horizontal="left" indent="1"/>
    </xf>
    <xf numFmtId="0" fontId="11" fillId="3" borderId="12" xfId="0" applyFont="1" applyFill="1" applyBorder="1" applyAlignment="1">
      <alignment horizontal="center" vertical="center"/>
    </xf>
    <xf numFmtId="3" fontId="11" fillId="3" borderId="12" xfId="0" applyNumberFormat="1" applyFont="1" applyFill="1" applyBorder="1" applyAlignment="1">
      <alignment horizontal="left" vertical="center" wrapText="1" indent="1"/>
    </xf>
    <xf numFmtId="3" fontId="11" fillId="3" borderId="12" xfId="0" applyNumberFormat="1" applyFont="1" applyFill="1" applyBorder="1" applyAlignment="1">
      <alignment horizontal="center" vertical="center" wrapText="1"/>
    </xf>
    <xf numFmtId="3" fontId="48" fillId="3" borderId="12" xfId="13" applyNumberFormat="1" applyFont="1" applyFill="1" applyBorder="1" applyAlignment="1">
      <alignment horizontal="center" vertical="center" wrapText="1"/>
    </xf>
    <xf numFmtId="0" fontId="49" fillId="3" borderId="12" xfId="13" applyFont="1" applyFill="1" applyBorder="1" applyAlignment="1">
      <alignment horizontal="center" vertical="center" wrapText="1"/>
    </xf>
    <xf numFmtId="3" fontId="11" fillId="3" borderId="12" xfId="0" applyNumberFormat="1" applyFont="1" applyFill="1" applyBorder="1" applyAlignment="1">
      <alignment horizontal="right" vertical="center" wrapText="1" indent="1"/>
    </xf>
    <xf numFmtId="4" fontId="11" fillId="3" borderId="12" xfId="0" applyNumberFormat="1" applyFont="1" applyFill="1" applyBorder="1" applyAlignment="1">
      <alignment horizontal="right" vertical="center" wrapText="1" indent="1"/>
    </xf>
    <xf numFmtId="0" fontId="11" fillId="3" borderId="12" xfId="0" applyFont="1" applyFill="1" applyBorder="1" applyAlignment="1">
      <alignment horizontal="left" vertical="top" wrapText="1" indent="1"/>
    </xf>
    <xf numFmtId="0" fontId="48" fillId="3" borderId="12" xfId="13" applyFont="1" applyFill="1" applyBorder="1" applyAlignment="1">
      <alignment horizontal="center" vertical="center" wrapText="1"/>
    </xf>
    <xf numFmtId="0" fontId="10" fillId="3" borderId="12" xfId="0" applyFont="1" applyFill="1" applyBorder="1" applyAlignment="1">
      <alignment horizontal="left" vertical="center" wrapText="1"/>
    </xf>
    <xf numFmtId="3" fontId="10" fillId="3" borderId="12" xfId="0" applyNumberFormat="1" applyFont="1" applyFill="1" applyBorder="1" applyAlignment="1">
      <alignment horizontal="left" vertical="center" wrapText="1"/>
    </xf>
    <xf numFmtId="3" fontId="11" fillId="3" borderId="12" xfId="0" applyNumberFormat="1" applyFont="1" applyFill="1" applyBorder="1" applyAlignment="1">
      <alignment horizontal="left" vertical="center" wrapText="1"/>
    </xf>
    <xf numFmtId="1" fontId="10" fillId="3" borderId="12" xfId="0" applyNumberFormat="1" applyFont="1" applyFill="1" applyBorder="1" applyAlignment="1">
      <alignment horizontal="left" vertical="center"/>
    </xf>
    <xf numFmtId="4" fontId="9" fillId="3" borderId="12" xfId="0" applyNumberFormat="1" applyFont="1" applyFill="1" applyBorder="1" applyAlignment="1">
      <alignment horizontal="left" vertical="center" wrapText="1"/>
    </xf>
    <xf numFmtId="4" fontId="9" fillId="3" borderId="12" xfId="0" applyNumberFormat="1" applyFont="1" applyFill="1" applyBorder="1" applyAlignment="1">
      <alignment horizontal="right" vertical="center" indent="2"/>
    </xf>
    <xf numFmtId="0" fontId="4" fillId="19" borderId="12" xfId="0" applyFont="1" applyFill="1" applyBorder="1" applyAlignment="1">
      <alignment horizontal="left" vertical="center" wrapText="1"/>
    </xf>
    <xf numFmtId="0" fontId="12" fillId="19" borderId="12" xfId="0" applyFont="1" applyFill="1" applyBorder="1" applyAlignment="1">
      <alignment horizontal="left" vertical="center" wrapText="1"/>
    </xf>
    <xf numFmtId="0" fontId="12" fillId="19" borderId="12" xfId="0" applyFont="1" applyFill="1" applyBorder="1" applyAlignment="1">
      <alignment horizontal="left" vertical="center" wrapText="1" indent="1"/>
    </xf>
    <xf numFmtId="0" fontId="49" fillId="20" borderId="12" xfId="13" applyFont="1" applyFill="1" applyBorder="1" applyAlignment="1">
      <alignment horizontal="center" vertical="center" wrapText="1"/>
    </xf>
    <xf numFmtId="4" fontId="11" fillId="3" borderId="12" xfId="0" applyNumberFormat="1" applyFont="1" applyFill="1" applyBorder="1" applyAlignment="1">
      <alignment horizontal="right" vertical="center" indent="1"/>
    </xf>
    <xf numFmtId="0" fontId="10" fillId="3" borderId="12" xfId="0" applyFont="1" applyFill="1" applyBorder="1" applyAlignment="1">
      <alignment horizontal="left" vertical="center"/>
    </xf>
    <xf numFmtId="0" fontId="50" fillId="3" borderId="12" xfId="13" applyFont="1" applyFill="1" applyBorder="1" applyAlignment="1">
      <alignment horizontal="center" vertical="center" wrapText="1"/>
    </xf>
    <xf numFmtId="171" fontId="2" fillId="3" borderId="11" xfId="0" applyNumberFormat="1" applyFont="1" applyFill="1" applyBorder="1" applyAlignment="1">
      <alignment horizontal="right" vertical="center" indent="1"/>
    </xf>
    <xf numFmtId="172" fontId="2" fillId="3" borderId="11" xfId="0" applyNumberFormat="1" applyFont="1" applyFill="1" applyBorder="1" applyAlignment="1">
      <alignment horizontal="left" vertical="center" indent="1"/>
    </xf>
    <xf numFmtId="4" fontId="15" fillId="3" borderId="12" xfId="0" applyNumberFormat="1" applyFont="1" applyFill="1" applyBorder="1" applyAlignment="1">
      <alignment horizontal="right" vertical="center" wrapText="1" indent="1"/>
    </xf>
    <xf numFmtId="4" fontId="8" fillId="3" borderId="12" xfId="0" applyNumberFormat="1" applyFont="1" applyFill="1" applyBorder="1" applyAlignment="1">
      <alignment horizontal="left" vertical="center" indent="4"/>
    </xf>
    <xf numFmtId="0" fontId="2" fillId="3" borderId="12" xfId="0" applyFont="1" applyFill="1" applyBorder="1" applyAlignment="1">
      <alignment horizontal="right"/>
    </xf>
    <xf numFmtId="3" fontId="12" fillId="3" borderId="12" xfId="0" applyNumberFormat="1" applyFont="1" applyFill="1" applyBorder="1" applyAlignment="1">
      <alignment horizontal="right" indent="1"/>
    </xf>
    <xf numFmtId="4" fontId="15" fillId="3" borderId="12" xfId="0" applyNumberFormat="1" applyFont="1" applyFill="1" applyBorder="1"/>
    <xf numFmtId="2" fontId="2" fillId="3" borderId="12" xfId="0" applyNumberFormat="1" applyFont="1" applyFill="1" applyBorder="1" applyAlignment="1">
      <alignment horizontal="right" indent="1"/>
    </xf>
    <xf numFmtId="0" fontId="8" fillId="3" borderId="12" xfId="0" applyFont="1" applyFill="1" applyBorder="1" applyAlignment="1">
      <alignment horizontal="right" vertical="center" wrapText="1" indent="1"/>
    </xf>
    <xf numFmtId="0" fontId="4" fillId="3" borderId="9" xfId="0" applyFont="1" applyFill="1" applyBorder="1" applyAlignment="1">
      <alignment horizontal="left" vertical="center"/>
    </xf>
    <xf numFmtId="0" fontId="0" fillId="3" borderId="12" xfId="0" applyFill="1" applyBorder="1"/>
    <xf numFmtId="2" fontId="12" fillId="3" borderId="12" xfId="0" applyNumberFormat="1" applyFont="1" applyFill="1" applyBorder="1" applyAlignment="1">
      <alignment horizontal="right" vertical="center" indent="1"/>
    </xf>
    <xf numFmtId="2" fontId="3" fillId="3" borderId="12" xfId="0" applyNumberFormat="1" applyFont="1" applyFill="1" applyBorder="1" applyAlignment="1">
      <alignment horizontal="right" vertical="center" wrapText="1" indent="1"/>
    </xf>
    <xf numFmtId="173" fontId="3" fillId="3" borderId="12" xfId="0" applyNumberFormat="1" applyFont="1" applyFill="1" applyBorder="1" applyAlignment="1">
      <alignment horizontal="right" vertical="center" indent="1"/>
    </xf>
    <xf numFmtId="0" fontId="2" fillId="3" borderId="0" xfId="0" applyFont="1" applyFill="1" applyAlignment="1">
      <alignment horizontal="right" indent="1"/>
    </xf>
    <xf numFmtId="165" fontId="12" fillId="3" borderId="12" xfId="0" applyNumberFormat="1" applyFont="1" applyFill="1" applyBorder="1" applyAlignment="1">
      <alignment horizontal="right" vertical="center" wrapText="1" indent="1"/>
    </xf>
    <xf numFmtId="165" fontId="2" fillId="3" borderId="12" xfId="0" applyNumberFormat="1" applyFont="1" applyFill="1" applyBorder="1" applyAlignment="1">
      <alignment horizontal="right" vertical="center" indent="1"/>
    </xf>
    <xf numFmtId="165" fontId="12" fillId="3" borderId="12" xfId="0" applyNumberFormat="1" applyFont="1" applyFill="1" applyBorder="1" applyAlignment="1">
      <alignment horizontal="right" vertical="center" indent="1"/>
    </xf>
    <xf numFmtId="0" fontId="0" fillId="3" borderId="4" xfId="0" applyFill="1" applyBorder="1" applyAlignment="1">
      <alignment horizontal="left"/>
    </xf>
    <xf numFmtId="0" fontId="22" fillId="3" borderId="12" xfId="0" applyFont="1" applyFill="1" applyBorder="1" applyAlignment="1">
      <alignment horizontal="left" indent="1"/>
    </xf>
    <xf numFmtId="167" fontId="2" fillId="3" borderId="12" xfId="0" applyNumberFormat="1" applyFont="1" applyFill="1" applyBorder="1" applyAlignment="1">
      <alignment horizontal="right" vertical="center" indent="1"/>
    </xf>
    <xf numFmtId="168" fontId="2" fillId="3" borderId="12" xfId="0" applyNumberFormat="1" applyFont="1" applyFill="1" applyBorder="1" applyAlignment="1">
      <alignment horizontal="right" vertical="center" indent="1"/>
    </xf>
    <xf numFmtId="0" fontId="0" fillId="3" borderId="12" xfId="0" applyFill="1" applyBorder="1" applyAlignment="1">
      <alignment horizontal="left"/>
    </xf>
    <xf numFmtId="0" fontId="8" fillId="3" borderId="16" xfId="0" applyFont="1" applyFill="1" applyBorder="1" applyAlignment="1">
      <alignment vertical="center" wrapText="1"/>
    </xf>
    <xf numFmtId="4" fontId="9" fillId="3" borderId="12" xfId="0" applyNumberFormat="1" applyFont="1" applyFill="1" applyBorder="1" applyAlignment="1">
      <alignment horizontal="center" vertical="center" wrapText="1"/>
    </xf>
    <xf numFmtId="0" fontId="27" fillId="3" borderId="12" xfId="0" applyFont="1" applyFill="1" applyBorder="1" applyAlignment="1">
      <alignment horizontal="left" vertical="center"/>
    </xf>
    <xf numFmtId="164" fontId="9" fillId="3" borderId="12" xfId="0" applyNumberFormat="1" applyFont="1" applyFill="1" applyBorder="1" applyAlignment="1">
      <alignment horizontal="right" vertical="center" wrapText="1" indent="1"/>
    </xf>
    <xf numFmtId="0" fontId="27" fillId="3" borderId="12" xfId="0" applyFont="1" applyFill="1" applyBorder="1" applyAlignment="1">
      <alignment horizontal="left" vertical="center" wrapText="1"/>
    </xf>
    <xf numFmtId="2" fontId="9" fillId="3" borderId="12" xfId="7" applyNumberFormat="1" applyFont="1" applyFill="1" applyBorder="1" applyAlignment="1">
      <alignment horizontal="right" vertical="center" wrapText="1" indent="1"/>
    </xf>
    <xf numFmtId="10" fontId="4" fillId="3" borderId="12" xfId="7" applyNumberFormat="1" applyFont="1" applyFill="1" applyBorder="1" applyAlignment="1">
      <alignment horizontal="right" vertical="center" wrapText="1" indent="1"/>
    </xf>
    <xf numFmtId="3" fontId="13" fillId="3" borderId="12" xfId="0" applyNumberFormat="1" applyFont="1" applyFill="1" applyBorder="1" applyAlignment="1">
      <alignment horizontal="right" vertical="center" indent="1"/>
    </xf>
    <xf numFmtId="4" fontId="13" fillId="3" borderId="12" xfId="0" applyNumberFormat="1" applyFont="1" applyFill="1" applyBorder="1" applyAlignment="1">
      <alignment horizontal="right" vertical="center" indent="1"/>
    </xf>
    <xf numFmtId="4" fontId="2" fillId="3" borderId="12" xfId="7" applyNumberFormat="1" applyFont="1" applyFill="1" applyBorder="1" applyAlignment="1">
      <alignment horizontal="right" vertical="center" indent="1"/>
    </xf>
    <xf numFmtId="3" fontId="8" fillId="3" borderId="5" xfId="0" applyNumberFormat="1" applyFont="1" applyFill="1" applyBorder="1" applyAlignment="1">
      <alignment horizontal="right" vertical="center" indent="1"/>
    </xf>
    <xf numFmtId="0" fontId="15" fillId="3" borderId="12" xfId="0" applyFont="1" applyFill="1" applyBorder="1" applyAlignment="1">
      <alignment horizontal="right" indent="1"/>
    </xf>
    <xf numFmtId="3" fontId="15" fillId="3" borderId="12" xfId="0" applyNumberFormat="1" applyFont="1" applyFill="1" applyBorder="1" applyAlignment="1">
      <alignment horizontal="right" indent="1"/>
    </xf>
    <xf numFmtId="3" fontId="9" fillId="3" borderId="14" xfId="0" applyNumberFormat="1" applyFont="1" applyFill="1" applyBorder="1" applyAlignment="1">
      <alignment horizontal="right" vertical="center" indent="1"/>
    </xf>
    <xf numFmtId="0" fontId="12" fillId="3" borderId="12" xfId="0" applyFont="1" applyFill="1" applyBorder="1" applyAlignment="1">
      <alignment horizontal="right" vertical="center" indent="1"/>
    </xf>
    <xf numFmtId="0" fontId="2" fillId="3" borderId="4" xfId="0" applyFont="1" applyFill="1" applyBorder="1" applyAlignment="1">
      <alignment horizontal="left"/>
    </xf>
    <xf numFmtId="0" fontId="12" fillId="3" borderId="12" xfId="9" applyFont="1" applyFill="1" applyBorder="1" applyAlignment="1">
      <alignment vertical="center" wrapText="1"/>
    </xf>
    <xf numFmtId="0" fontId="3" fillId="3" borderId="10" xfId="0" applyFont="1" applyFill="1" applyBorder="1" applyAlignment="1">
      <alignment horizontal="left" vertical="center"/>
    </xf>
    <xf numFmtId="0" fontId="12" fillId="3" borderId="10" xfId="9" applyFont="1" applyFill="1" applyBorder="1" applyAlignment="1">
      <alignment vertical="center" wrapText="1"/>
    </xf>
    <xf numFmtId="3" fontId="12" fillId="3" borderId="10" xfId="0" applyNumberFormat="1" applyFont="1" applyFill="1" applyBorder="1" applyAlignment="1">
      <alignment horizontal="right" vertical="center" wrapText="1" indent="1"/>
    </xf>
    <xf numFmtId="0" fontId="2" fillId="3" borderId="10" xfId="0" applyFont="1" applyFill="1" applyBorder="1" applyAlignment="1">
      <alignment horizontal="right" vertical="center" wrapText="1" indent="1"/>
    </xf>
    <xf numFmtId="0" fontId="3" fillId="3" borderId="9" xfId="0" applyFont="1" applyFill="1" applyBorder="1" applyAlignment="1">
      <alignment horizontal="right" indent="1"/>
    </xf>
    <xf numFmtId="3" fontId="8" fillId="3" borderId="9" xfId="0" applyNumberFormat="1" applyFont="1" applyFill="1" applyBorder="1" applyAlignment="1">
      <alignment horizontal="right" vertical="center" indent="1"/>
    </xf>
    <xf numFmtId="4" fontId="8" fillId="3" borderId="9" xfId="0" applyNumberFormat="1" applyFont="1" applyFill="1" applyBorder="1" applyAlignment="1">
      <alignment horizontal="right" vertical="center" indent="1"/>
    </xf>
    <xf numFmtId="43" fontId="2" fillId="3" borderId="12" xfId="11" applyFont="1" applyFill="1" applyBorder="1" applyAlignment="1">
      <alignment horizontal="right" vertical="center" indent="1"/>
    </xf>
    <xf numFmtId="43" fontId="2" fillId="3" borderId="12" xfId="11" applyFont="1" applyFill="1" applyBorder="1" applyAlignment="1">
      <alignment horizontal="right" vertical="center" wrapText="1" indent="1"/>
    </xf>
    <xf numFmtId="177" fontId="2" fillId="3" borderId="12" xfId="11" applyNumberFormat="1" applyFont="1" applyFill="1" applyBorder="1" applyAlignment="1">
      <alignment horizontal="right" vertical="center" indent="1"/>
    </xf>
    <xf numFmtId="0" fontId="24" fillId="3" borderId="12" xfId="0" applyFont="1" applyFill="1" applyBorder="1" applyAlignment="1">
      <alignment horizontal="right" vertical="center" wrapText="1" indent="1"/>
    </xf>
    <xf numFmtId="3" fontId="2" fillId="3" borderId="12" xfId="7" applyNumberFormat="1" applyFont="1" applyFill="1" applyBorder="1" applyAlignment="1">
      <alignment horizontal="right" vertical="center" wrapText="1" indent="1"/>
    </xf>
    <xf numFmtId="3" fontId="12" fillId="3" borderId="12" xfId="1" applyNumberFormat="1" applyFont="1" applyFill="1" applyBorder="1" applyAlignment="1">
      <alignment horizontal="right" vertical="center" wrapText="1" indent="1"/>
    </xf>
    <xf numFmtId="3" fontId="12" fillId="3" borderId="12" xfId="1" applyNumberFormat="1" applyFont="1" applyFill="1" applyBorder="1" applyAlignment="1">
      <alignment horizontal="right" vertical="center" indent="1"/>
    </xf>
    <xf numFmtId="0" fontId="13" fillId="3" borderId="12" xfId="0" applyFont="1" applyFill="1" applyBorder="1" applyAlignment="1">
      <alignment horizontal="right" vertical="center" indent="1"/>
    </xf>
    <xf numFmtId="172" fontId="4" fillId="3" borderId="12" xfId="0" applyNumberFormat="1" applyFont="1" applyFill="1" applyBorder="1" applyAlignment="1">
      <alignment horizontal="right" vertical="center" wrapText="1" indent="1"/>
    </xf>
    <xf numFmtId="0" fontId="2" fillId="3" borderId="12" xfId="0" applyFont="1" applyFill="1" applyBorder="1" applyAlignment="1">
      <alignment horizontal="left" vertical="center" wrapText="1" indent="1"/>
    </xf>
    <xf numFmtId="2" fontId="13" fillId="3" borderId="12" xfId="0" applyNumberFormat="1" applyFont="1" applyFill="1" applyBorder="1" applyAlignment="1">
      <alignment horizontal="right" vertical="center" wrapText="1" indent="1"/>
    </xf>
    <xf numFmtId="2" fontId="13" fillId="3" borderId="12" xfId="0" quotePrefix="1" applyNumberFormat="1" applyFont="1" applyFill="1" applyBorder="1" applyAlignment="1">
      <alignment horizontal="right" vertical="center" wrapText="1" indent="1"/>
    </xf>
    <xf numFmtId="172" fontId="2" fillId="3" borderId="12" xfId="0" applyNumberFormat="1" applyFont="1" applyFill="1" applyBorder="1" applyAlignment="1">
      <alignment horizontal="right" vertical="center" indent="1"/>
    </xf>
    <xf numFmtId="0" fontId="12" fillId="3" borderId="12" xfId="0" applyFont="1" applyFill="1" applyBorder="1" applyAlignment="1">
      <alignment horizontal="left" wrapText="1" indent="1"/>
    </xf>
    <xf numFmtId="0" fontId="2" fillId="3" borderId="18" xfId="0" applyFont="1" applyFill="1" applyBorder="1" applyAlignment="1">
      <alignment horizontal="left" vertical="center" wrapText="1" indent="1"/>
    </xf>
    <xf numFmtId="0" fontId="2" fillId="3" borderId="20" xfId="0" applyFont="1" applyFill="1" applyBorder="1" applyAlignment="1">
      <alignment horizontal="left" vertical="center" wrapText="1" indent="1"/>
    </xf>
    <xf numFmtId="0" fontId="3" fillId="3" borderId="9" xfId="0" applyFont="1" applyFill="1" applyBorder="1" applyAlignment="1">
      <alignment horizontal="left" vertical="center"/>
    </xf>
    <xf numFmtId="0" fontId="2" fillId="3" borderId="9" xfId="0" applyFont="1" applyFill="1" applyBorder="1" applyAlignment="1">
      <alignment vertical="center" wrapText="1"/>
    </xf>
    <xf numFmtId="0" fontId="2" fillId="3" borderId="12" xfId="0" applyFont="1" applyFill="1" applyBorder="1" applyAlignment="1">
      <alignment vertical="center"/>
    </xf>
    <xf numFmtId="0" fontId="2" fillId="3" borderId="0" xfId="0" applyFont="1" applyFill="1" applyAlignment="1">
      <alignment horizontal="center"/>
    </xf>
    <xf numFmtId="0" fontId="2" fillId="3" borderId="0" xfId="0" applyFont="1" applyFill="1" applyAlignment="1"/>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indent="1"/>
    </xf>
    <xf numFmtId="0" fontId="3" fillId="3" borderId="12" xfId="0" applyFont="1" applyFill="1" applyBorder="1" applyAlignment="1">
      <alignment horizontal="left" vertical="center"/>
    </xf>
    <xf numFmtId="0" fontId="2" fillId="3" borderId="12" xfId="0" applyFont="1" applyFill="1" applyBorder="1" applyAlignment="1">
      <alignment horizontal="left" vertical="center" wrapText="1"/>
    </xf>
    <xf numFmtId="0" fontId="2" fillId="3" borderId="12" xfId="0" applyFont="1" applyFill="1" applyBorder="1" applyAlignment="1">
      <alignment horizontal="right" vertical="center"/>
    </xf>
    <xf numFmtId="0" fontId="2" fillId="3" borderId="12" xfId="0" applyFont="1" applyFill="1" applyBorder="1" applyAlignment="1">
      <alignment vertical="center" wrapText="1"/>
    </xf>
    <xf numFmtId="0" fontId="2" fillId="3" borderId="12" xfId="0" applyFont="1" applyFill="1" applyBorder="1" applyAlignment="1">
      <alignment horizontal="left" vertical="center" indent="1"/>
    </xf>
    <xf numFmtId="0" fontId="12" fillId="3" borderId="12" xfId="0" applyFont="1" applyFill="1" applyBorder="1" applyAlignment="1">
      <alignment horizontal="left" vertical="center" wrapText="1" indent="1"/>
    </xf>
    <xf numFmtId="0" fontId="4" fillId="3" borderId="12" xfId="0" applyFont="1" applyFill="1" applyBorder="1" applyAlignment="1">
      <alignment horizontal="left" vertical="center" wrapText="1"/>
    </xf>
    <xf numFmtId="3" fontId="2" fillId="3" borderId="12" xfId="11" applyNumberFormat="1" applyFont="1" applyFill="1" applyBorder="1" applyAlignment="1">
      <alignment horizontal="right" vertical="center" indent="1"/>
    </xf>
    <xf numFmtId="4" fontId="2" fillId="3" borderId="12" xfId="11" applyNumberFormat="1" applyFont="1" applyFill="1" applyBorder="1" applyAlignment="1">
      <alignment horizontal="right" vertical="center" indent="1"/>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3" fontId="19" fillId="3" borderId="12" xfId="0" applyNumberFormat="1" applyFont="1" applyFill="1" applyBorder="1" applyAlignment="1">
      <alignment horizontal="right" vertical="center" indent="1"/>
    </xf>
    <xf numFmtId="4" fontId="19" fillId="3" borderId="12" xfId="0" applyNumberFormat="1" applyFont="1" applyFill="1" applyBorder="1" applyAlignment="1">
      <alignment horizontal="right" vertical="center" indent="1"/>
    </xf>
    <xf numFmtId="3" fontId="2" fillId="3" borderId="0" xfId="0" applyNumberFormat="1" applyFont="1" applyFill="1" applyAlignment="1">
      <alignment horizontal="center"/>
    </xf>
    <xf numFmtId="4" fontId="2" fillId="3" borderId="0" xfId="0" applyNumberFormat="1" applyFont="1" applyFill="1" applyAlignment="1">
      <alignment horizontal="right" indent="1"/>
    </xf>
    <xf numFmtId="0" fontId="2" fillId="3" borderId="12" xfId="0" applyFont="1" applyFill="1" applyBorder="1" applyAlignment="1">
      <alignment horizontal="left" vertical="center" wrapText="1" indent="1"/>
    </xf>
    <xf numFmtId="0" fontId="2" fillId="3" borderId="12" xfId="0" applyFont="1" applyFill="1" applyBorder="1" applyAlignment="1">
      <alignment vertical="center" wrapText="1"/>
    </xf>
    <xf numFmtId="0" fontId="2" fillId="0" borderId="12" xfId="0" applyFont="1" applyFill="1" applyBorder="1" applyAlignment="1">
      <alignment horizontal="left" vertical="center" wrapText="1"/>
    </xf>
    <xf numFmtId="0" fontId="14" fillId="0" borderId="12" xfId="0" applyFont="1" applyFill="1" applyBorder="1" applyAlignment="1">
      <alignment horizontal="left" vertical="center" wrapText="1" indent="1"/>
    </xf>
    <xf numFmtId="4" fontId="2" fillId="3" borderId="10" xfId="0" applyNumberFormat="1" applyFont="1" applyFill="1" applyBorder="1" applyAlignment="1">
      <alignment horizontal="right" vertical="center" indent="1"/>
    </xf>
    <xf numFmtId="4" fontId="2" fillId="3" borderId="9" xfId="0" applyNumberFormat="1" applyFont="1" applyFill="1" applyBorder="1" applyAlignment="1">
      <alignment horizontal="right" vertical="center" indent="1"/>
    </xf>
    <xf numFmtId="3" fontId="2" fillId="3" borderId="10" xfId="0" applyNumberFormat="1" applyFont="1" applyFill="1" applyBorder="1" applyAlignment="1">
      <alignment horizontal="right" vertical="center" indent="1"/>
    </xf>
    <xf numFmtId="3" fontId="2" fillId="3" borderId="11" xfId="0" applyNumberFormat="1" applyFont="1" applyFill="1" applyBorder="1" applyAlignment="1">
      <alignment horizontal="right" vertical="center" indent="1"/>
    </xf>
    <xf numFmtId="3" fontId="2" fillId="3" borderId="9" xfId="0" applyNumberFormat="1" applyFont="1" applyFill="1" applyBorder="1" applyAlignment="1">
      <alignment horizontal="right" vertical="center" indent="1"/>
    </xf>
    <xf numFmtId="4" fontId="2" fillId="3" borderId="11" xfId="0" applyNumberFormat="1" applyFont="1" applyFill="1" applyBorder="1" applyAlignment="1">
      <alignment horizontal="right" vertical="center" indent="1"/>
    </xf>
    <xf numFmtId="171" fontId="2" fillId="3" borderId="11" xfId="0" applyNumberFormat="1" applyFont="1" applyFill="1" applyBorder="1" applyAlignment="1">
      <alignment horizontal="right" vertical="center" indent="1"/>
    </xf>
    <xf numFmtId="171" fontId="2" fillId="3" borderId="9" xfId="0" applyNumberFormat="1" applyFont="1" applyFill="1" applyBorder="1" applyAlignment="1">
      <alignment horizontal="right" vertical="center" indent="1"/>
    </xf>
    <xf numFmtId="172" fontId="2" fillId="3" borderId="11" xfId="0" applyNumberFormat="1" applyFont="1" applyFill="1" applyBorder="1" applyAlignment="1">
      <alignment horizontal="right" vertical="center" indent="1"/>
    </xf>
    <xf numFmtId="172" fontId="2" fillId="3" borderId="9" xfId="0" applyNumberFormat="1" applyFont="1" applyFill="1" applyBorder="1" applyAlignment="1">
      <alignment horizontal="right" vertical="center" indent="1"/>
    </xf>
    <xf numFmtId="3" fontId="2" fillId="3" borderId="12" xfId="0" applyNumberFormat="1" applyFont="1" applyFill="1" applyBorder="1" applyAlignment="1">
      <alignment horizontal="right" vertical="center" indent="1"/>
    </xf>
    <xf numFmtId="0" fontId="2" fillId="3" borderId="9" xfId="0" applyFont="1" applyFill="1" applyBorder="1" applyAlignment="1">
      <alignment horizontal="left" vertical="center" wrapText="1"/>
    </xf>
    <xf numFmtId="4" fontId="2" fillId="3" borderId="12" xfId="0" applyNumberFormat="1" applyFont="1" applyFill="1" applyBorder="1" applyAlignment="1">
      <alignment horizontal="right" vertical="center" indent="1"/>
    </xf>
    <xf numFmtId="0" fontId="16" fillId="0" borderId="12" xfId="0" applyFont="1" applyBorder="1"/>
    <xf numFmtId="0" fontId="2" fillId="3" borderId="12" xfId="0" applyFont="1" applyFill="1" applyBorder="1" applyAlignment="1">
      <alignment horizontal="left" wrapText="1"/>
    </xf>
    <xf numFmtId="0" fontId="2" fillId="3" borderId="0" xfId="0" applyFont="1" applyFill="1" applyAlignment="1">
      <alignment horizontal="left" wrapText="1"/>
    </xf>
    <xf numFmtId="43" fontId="0" fillId="0" borderId="0" xfId="0" applyNumberFormat="1" applyBorder="1" applyAlignment="1">
      <alignment wrapText="1"/>
    </xf>
    <xf numFmtId="0" fontId="12" fillId="3" borderId="12" xfId="1" applyFont="1" applyFill="1" applyBorder="1" applyAlignment="1">
      <alignment horizontal="right" vertical="center" indent="1"/>
    </xf>
    <xf numFmtId="1" fontId="12" fillId="3" borderId="12" xfId="0" applyNumberFormat="1" applyFont="1" applyFill="1" applyBorder="1" applyAlignment="1">
      <alignment horizontal="right" vertical="center" wrapText="1" indent="1"/>
    </xf>
    <xf numFmtId="0" fontId="12" fillId="3" borderId="13" xfId="1" applyFont="1" applyFill="1" applyBorder="1" applyAlignment="1">
      <alignment horizontal="right" vertical="center" indent="1"/>
    </xf>
    <xf numFmtId="0" fontId="3" fillId="3" borderId="12" xfId="0" applyFont="1" applyFill="1" applyBorder="1" applyAlignment="1">
      <alignment horizontal="right" vertical="center" indent="1"/>
    </xf>
    <xf numFmtId="3" fontId="42" fillId="3" borderId="12" xfId="0" applyNumberFormat="1" applyFont="1" applyFill="1" applyBorder="1" applyAlignment="1">
      <alignment horizontal="right" vertical="center" wrapText="1" indent="1"/>
    </xf>
    <xf numFmtId="4" fontId="12" fillId="3" borderId="12" xfId="0" quotePrefix="1" applyNumberFormat="1" applyFont="1" applyFill="1" applyBorder="1" applyAlignment="1">
      <alignment horizontal="right" vertical="center" indent="1"/>
    </xf>
    <xf numFmtId="0" fontId="2" fillId="3" borderId="18" xfId="0" applyFont="1" applyFill="1" applyBorder="1" applyAlignment="1">
      <alignment horizontal="right" vertical="center" wrapText="1" indent="1"/>
    </xf>
    <xf numFmtId="0" fontId="2" fillId="3" borderId="19" xfId="0" applyFont="1" applyFill="1" applyBorder="1" applyAlignment="1">
      <alignment horizontal="right" vertical="center" wrapText="1" indent="1"/>
    </xf>
    <xf numFmtId="0" fontId="12" fillId="3" borderId="10" xfId="0" applyFont="1" applyFill="1" applyBorder="1" applyAlignment="1">
      <alignment horizontal="right" vertical="center" wrapText="1" indent="1"/>
    </xf>
    <xf numFmtId="0" fontId="12" fillId="3" borderId="9" xfId="0" applyFont="1" applyFill="1" applyBorder="1" applyAlignment="1">
      <alignment horizontal="right" vertical="center" wrapText="1" indent="1"/>
    </xf>
    <xf numFmtId="1" fontId="2" fillId="3" borderId="12" xfId="0" applyNumberFormat="1" applyFont="1" applyFill="1" applyBorder="1" applyAlignment="1">
      <alignment horizontal="right" vertical="center" indent="1"/>
    </xf>
    <xf numFmtId="43" fontId="2" fillId="3" borderId="12" xfId="0" applyNumberFormat="1" applyFont="1" applyFill="1" applyBorder="1" applyAlignment="1">
      <alignment horizontal="right" vertical="center" indent="1"/>
    </xf>
    <xf numFmtId="0" fontId="2" fillId="0" borderId="12" xfId="0" applyFont="1" applyBorder="1" applyAlignment="1">
      <alignment horizontal="right" vertical="center" indent="1"/>
    </xf>
    <xf numFmtId="0" fontId="20" fillId="3" borderId="12" xfId="0" applyFont="1" applyFill="1" applyBorder="1" applyAlignment="1">
      <alignment horizontal="left" vertical="center" wrapText="1"/>
    </xf>
    <xf numFmtId="0" fontId="2" fillId="3" borderId="0" xfId="0" applyFont="1" applyFill="1" applyAlignment="1">
      <alignment horizontal="right" vertical="center" indent="1"/>
    </xf>
    <xf numFmtId="0" fontId="2" fillId="0" borderId="0" xfId="0" applyFont="1" applyAlignment="1">
      <alignment horizontal="right" vertical="center" indent="1"/>
    </xf>
    <xf numFmtId="0" fontId="9" fillId="0" borderId="12" xfId="0" applyFont="1" applyFill="1" applyBorder="1" applyAlignment="1">
      <alignment horizontal="right" vertical="center" indent="1"/>
    </xf>
    <xf numFmtId="0" fontId="15" fillId="0" borderId="12" xfId="0" applyFont="1" applyFill="1" applyBorder="1" applyAlignment="1">
      <alignment horizontal="right" vertical="center" wrapText="1" indent="1"/>
    </xf>
    <xf numFmtId="3" fontId="15" fillId="0" borderId="12" xfId="0" applyNumberFormat="1" applyFont="1" applyBorder="1" applyAlignment="1">
      <alignment horizontal="right" vertical="center" indent="1"/>
    </xf>
    <xf numFmtId="0" fontId="15" fillId="0" borderId="12" xfId="0" applyFont="1" applyBorder="1" applyAlignment="1">
      <alignment horizontal="right" vertical="center" indent="1"/>
    </xf>
    <xf numFmtId="0" fontId="22" fillId="3" borderId="12" xfId="0" applyFont="1" applyFill="1" applyBorder="1" applyAlignment="1">
      <alignment horizontal="right" vertical="center" indent="1"/>
    </xf>
    <xf numFmtId="3" fontId="22" fillId="3" borderId="12" xfId="0" applyNumberFormat="1" applyFont="1" applyFill="1" applyBorder="1" applyAlignment="1">
      <alignment horizontal="right" vertical="center" indent="1"/>
    </xf>
    <xf numFmtId="0" fontId="3" fillId="3" borderId="12" xfId="0" applyFont="1" applyFill="1" applyBorder="1" applyAlignment="1">
      <alignment horizontal="right" vertical="center" wrapText="1" indent="1"/>
    </xf>
    <xf numFmtId="164" fontId="2" fillId="3" borderId="12" xfId="0" applyNumberFormat="1" applyFont="1" applyFill="1" applyBorder="1" applyAlignment="1">
      <alignment horizontal="right" vertical="center" wrapText="1" indent="1"/>
    </xf>
    <xf numFmtId="3" fontId="48" fillId="3" borderId="12" xfId="13" applyNumberFormat="1" applyFont="1" applyFill="1" applyBorder="1" applyAlignment="1">
      <alignment horizontal="right" vertical="center" wrapText="1" indent="1"/>
    </xf>
    <xf numFmtId="0" fontId="49" fillId="3" borderId="12" xfId="13" applyFont="1" applyFill="1" applyBorder="1" applyAlignment="1">
      <alignment horizontal="right" vertical="center" wrapText="1" indent="1"/>
    </xf>
    <xf numFmtId="0" fontId="2" fillId="3" borderId="10" xfId="0" applyFont="1" applyFill="1" applyBorder="1" applyAlignment="1">
      <alignment horizontal="right" vertical="center" indent="1"/>
    </xf>
    <xf numFmtId="174" fontId="2" fillId="3" borderId="12" xfId="0" applyNumberFormat="1" applyFont="1" applyFill="1" applyBorder="1" applyAlignment="1">
      <alignment horizontal="right" vertical="center" indent="1"/>
    </xf>
    <xf numFmtId="3" fontId="2" fillId="3" borderId="12" xfId="0" quotePrefix="1" applyNumberFormat="1" applyFont="1" applyFill="1" applyBorder="1" applyAlignment="1">
      <alignment horizontal="right" vertical="center" wrapText="1" indent="1"/>
    </xf>
    <xf numFmtId="0" fontId="12" fillId="3" borderId="12" xfId="0" quotePrefix="1" applyFont="1" applyFill="1" applyBorder="1" applyAlignment="1">
      <alignment horizontal="right" vertical="center" wrapText="1" indent="1"/>
    </xf>
    <xf numFmtId="0" fontId="15" fillId="0" borderId="12" xfId="0" applyFont="1" applyFill="1" applyBorder="1" applyAlignment="1">
      <alignment horizontal="right" vertical="center" indent="1"/>
    </xf>
    <xf numFmtId="3" fontId="12" fillId="0" borderId="12" xfId="0" applyNumberFormat="1" applyFont="1" applyFill="1" applyBorder="1" applyAlignment="1">
      <alignment horizontal="right" vertical="center" wrapText="1" indent="1"/>
    </xf>
    <xf numFmtId="3" fontId="15" fillId="0" borderId="12" xfId="0" applyNumberFormat="1" applyFont="1" applyFill="1" applyBorder="1" applyAlignment="1">
      <alignment horizontal="right" vertical="center" wrapText="1" indent="1"/>
    </xf>
    <xf numFmtId="4" fontId="8" fillId="3" borderId="13" xfId="0" applyNumberFormat="1" applyFont="1" applyFill="1" applyBorder="1" applyAlignment="1">
      <alignment horizontal="right" vertical="center" wrapText="1" indent="1"/>
    </xf>
    <xf numFmtId="0" fontId="44" fillId="3" borderId="12" xfId="0" applyFont="1" applyFill="1" applyBorder="1" applyAlignment="1">
      <alignment horizontal="right" vertical="center" wrapText="1" indent="1"/>
    </xf>
    <xf numFmtId="0" fontId="45" fillId="3" borderId="12" xfId="0" applyFont="1" applyFill="1" applyBorder="1" applyAlignment="1">
      <alignment horizontal="right" vertical="center" wrapText="1" indent="1"/>
    </xf>
    <xf numFmtId="0" fontId="16" fillId="3" borderId="12" xfId="0" applyFont="1" applyFill="1" applyBorder="1" applyAlignment="1">
      <alignment horizontal="right" vertical="center" indent="1"/>
    </xf>
    <xf numFmtId="0" fontId="12" fillId="4" borderId="13" xfId="0" applyFont="1" applyFill="1" applyBorder="1" applyAlignment="1">
      <alignment horizontal="right" vertical="center" wrapText="1" indent="1"/>
    </xf>
    <xf numFmtId="3" fontId="2" fillId="3" borderId="10" xfId="0" applyNumberFormat="1" applyFont="1" applyFill="1" applyBorder="1" applyAlignment="1">
      <alignment horizontal="right" vertical="center" wrapText="1" indent="1"/>
    </xf>
    <xf numFmtId="2" fontId="12" fillId="3" borderId="10" xfId="0" applyNumberFormat="1" applyFont="1" applyFill="1" applyBorder="1" applyAlignment="1">
      <alignment horizontal="right" vertical="center" wrapText="1" indent="1"/>
    </xf>
    <xf numFmtId="3" fontId="59" fillId="3" borderId="12" xfId="0" applyNumberFormat="1" applyFont="1" applyFill="1" applyBorder="1" applyAlignment="1">
      <alignment horizontal="right" vertical="center" wrapText="1" indent="1"/>
    </xf>
    <xf numFmtId="4" fontId="59" fillId="3" borderId="12" xfId="0" applyNumberFormat="1" applyFont="1" applyFill="1" applyBorder="1" applyAlignment="1">
      <alignment horizontal="right" vertical="center" wrapText="1" indent="1"/>
    </xf>
    <xf numFmtId="0" fontId="29" fillId="3" borderId="12" xfId="0" applyFont="1" applyFill="1" applyBorder="1" applyAlignment="1">
      <alignment horizontal="right" vertical="center" indent="1"/>
    </xf>
    <xf numFmtId="0" fontId="56" fillId="3" borderId="12" xfId="0" applyFont="1" applyFill="1" applyBorder="1" applyAlignment="1">
      <alignment horizontal="right" vertical="center" wrapText="1" indent="1"/>
    </xf>
    <xf numFmtId="43" fontId="3" fillId="3" borderId="12" xfId="0" applyNumberFormat="1" applyFont="1" applyFill="1" applyBorder="1" applyAlignment="1">
      <alignment horizontal="right" vertical="center" indent="1"/>
    </xf>
    <xf numFmtId="43" fontId="8" fillId="3" borderId="12" xfId="0" applyNumberFormat="1" applyFont="1" applyFill="1" applyBorder="1" applyAlignment="1">
      <alignment horizontal="right" vertical="center" indent="1"/>
    </xf>
    <xf numFmtId="3" fontId="14" fillId="3" borderId="12" xfId="0" applyNumberFormat="1" applyFont="1" applyFill="1" applyBorder="1" applyAlignment="1">
      <alignment horizontal="right" vertical="center" wrapText="1" indent="1"/>
    </xf>
    <xf numFmtId="3" fontId="15" fillId="3" borderId="12" xfId="0" applyNumberFormat="1" applyFont="1" applyFill="1" applyBorder="1" applyAlignment="1">
      <alignment horizontal="right" vertical="center" indent="1"/>
    </xf>
    <xf numFmtId="0" fontId="15" fillId="3" borderId="12" xfId="0" applyFont="1" applyFill="1" applyBorder="1" applyAlignment="1">
      <alignment horizontal="right" vertical="center" indent="1"/>
    </xf>
    <xf numFmtId="0" fontId="2" fillId="4" borderId="13" xfId="0" applyFont="1" applyFill="1" applyBorder="1" applyAlignment="1">
      <alignment horizontal="right" vertical="center" wrapText="1" indent="1"/>
    </xf>
    <xf numFmtId="3" fontId="46" fillId="4" borderId="12" xfId="12" applyNumberFormat="1" applyFont="1" applyFill="1" applyBorder="1" applyAlignment="1">
      <alignment horizontal="right" vertical="center" indent="1"/>
    </xf>
    <xf numFmtId="3" fontId="51" fillId="4" borderId="12" xfId="12" applyNumberFormat="1" applyFont="1" applyFill="1" applyBorder="1" applyAlignment="1">
      <alignment horizontal="right" vertical="center" indent="1"/>
    </xf>
    <xf numFmtId="3" fontId="52" fillId="4" borderId="12" xfId="12" applyNumberFormat="1" applyFont="1" applyFill="1" applyBorder="1" applyAlignment="1">
      <alignment horizontal="right" vertical="center" wrapText="1" indent="1"/>
    </xf>
    <xf numFmtId="172" fontId="8" fillId="0" borderId="12" xfId="11" applyNumberFormat="1" applyFont="1" applyFill="1" applyBorder="1" applyAlignment="1">
      <alignment horizontal="right" vertical="center" indent="1"/>
    </xf>
    <xf numFmtId="0" fontId="13" fillId="3" borderId="12" xfId="0" applyFont="1" applyFill="1" applyBorder="1" applyAlignment="1">
      <alignment horizontal="right" indent="1"/>
    </xf>
    <xf numFmtId="3" fontId="13" fillId="3" borderId="12" xfId="0" applyNumberFormat="1" applyFont="1" applyFill="1" applyBorder="1" applyAlignment="1">
      <alignment horizontal="right" indent="1"/>
    </xf>
    <xf numFmtId="4" fontId="13" fillId="3" borderId="12" xfId="0" applyNumberFormat="1" applyFont="1" applyFill="1" applyBorder="1" applyAlignment="1">
      <alignment horizontal="right" indent="1"/>
    </xf>
    <xf numFmtId="3" fontId="13" fillId="0" borderId="12" xfId="0" applyNumberFormat="1" applyFont="1" applyFill="1" applyBorder="1" applyAlignment="1">
      <alignment horizontal="right" vertical="center" indent="1"/>
    </xf>
    <xf numFmtId="3" fontId="13" fillId="0" borderId="12" xfId="0" applyNumberFormat="1" applyFont="1" applyFill="1" applyBorder="1" applyAlignment="1">
      <alignment horizontal="right" vertical="center" wrapText="1" indent="1"/>
    </xf>
    <xf numFmtId="3" fontId="20" fillId="3" borderId="12" xfId="0" applyNumberFormat="1" applyFont="1" applyFill="1" applyBorder="1" applyAlignment="1">
      <alignment horizontal="right" vertical="center" indent="1"/>
    </xf>
    <xf numFmtId="3" fontId="2" fillId="0" borderId="12" xfId="0" applyNumberFormat="1" applyFont="1" applyBorder="1" applyAlignment="1">
      <alignment horizontal="right" indent="1"/>
    </xf>
    <xf numFmtId="164" fontId="2" fillId="3" borderId="12" xfId="0" applyNumberFormat="1" applyFont="1" applyFill="1" applyBorder="1" applyAlignment="1">
      <alignment horizontal="right" vertical="center" indent="1"/>
    </xf>
    <xf numFmtId="0" fontId="33" fillId="3" borderId="10" xfId="12" applyFont="1" applyFill="1" applyBorder="1" applyAlignment="1">
      <alignment horizontal="left" vertical="center" wrapText="1"/>
    </xf>
    <xf numFmtId="0" fontId="33" fillId="3" borderId="11" xfId="12" applyFont="1" applyFill="1" applyBorder="1" applyAlignment="1">
      <alignment horizontal="left" vertical="center" wrapText="1"/>
    </xf>
    <xf numFmtId="0" fontId="33" fillId="3" borderId="9" xfId="12" applyFont="1" applyFill="1" applyBorder="1" applyAlignment="1">
      <alignment horizontal="left" vertical="center" wrapText="1"/>
    </xf>
    <xf numFmtId="0" fontId="30" fillId="0" borderId="0" xfId="0" applyFont="1" applyBorder="1" applyAlignment="1">
      <alignment horizontal="center"/>
    </xf>
    <xf numFmtId="0" fontId="30" fillId="0" borderId="0" xfId="0" applyFont="1" applyBorder="1" applyAlignment="1">
      <alignment horizontal="center" vertical="center"/>
    </xf>
    <xf numFmtId="0" fontId="33" fillId="3" borderId="10" xfId="1" applyFont="1" applyFill="1" applyBorder="1" applyAlignment="1">
      <alignment vertical="center" wrapText="1"/>
    </xf>
    <xf numFmtId="0" fontId="33" fillId="3" borderId="11" xfId="1" applyFont="1" applyFill="1" applyBorder="1" applyAlignment="1">
      <alignment vertical="center" wrapText="1"/>
    </xf>
    <xf numFmtId="0" fontId="33" fillId="3" borderId="9" xfId="1" applyFont="1" applyFill="1" applyBorder="1" applyAlignment="1">
      <alignment vertical="center" wrapText="1"/>
    </xf>
    <xf numFmtId="164" fontId="33" fillId="8" borderId="10" xfId="12" applyNumberFormat="1" applyFont="1" applyFill="1" applyBorder="1" applyAlignment="1">
      <alignment vertical="center" wrapText="1"/>
    </xf>
    <xf numFmtId="164" fontId="33" fillId="8" borderId="11" xfId="12" applyNumberFormat="1" applyFont="1" applyFill="1" applyBorder="1" applyAlignment="1">
      <alignment vertical="center" wrapText="1"/>
    </xf>
    <xf numFmtId="164" fontId="33" fillId="8" borderId="9" xfId="12" applyNumberFormat="1" applyFont="1" applyFill="1" applyBorder="1" applyAlignment="1">
      <alignment vertical="center" wrapText="1"/>
    </xf>
    <xf numFmtId="0" fontId="33" fillId="3" borderId="10" xfId="1" applyFont="1" applyFill="1" applyBorder="1" applyAlignment="1">
      <alignment horizontal="left" vertical="center" wrapText="1"/>
    </xf>
    <xf numFmtId="0" fontId="33" fillId="3" borderId="11" xfId="1" applyFont="1" applyFill="1" applyBorder="1" applyAlignment="1">
      <alignment horizontal="left" vertical="center" wrapText="1"/>
    </xf>
    <xf numFmtId="0" fontId="33" fillId="3" borderId="9" xfId="1" applyFont="1" applyFill="1" applyBorder="1" applyAlignment="1">
      <alignment horizontal="left" vertical="center" wrapText="1"/>
    </xf>
    <xf numFmtId="3" fontId="33" fillId="8" borderId="10" xfId="12" applyNumberFormat="1" applyFont="1" applyFill="1" applyBorder="1" applyAlignment="1">
      <alignment horizontal="left" vertical="center" wrapText="1"/>
    </xf>
    <xf numFmtId="3" fontId="33" fillId="8" borderId="9" xfId="12" applyNumberFormat="1" applyFont="1" applyFill="1" applyBorder="1" applyAlignment="1">
      <alignment horizontal="left" vertical="center" wrapText="1"/>
    </xf>
    <xf numFmtId="164" fontId="33" fillId="8" borderId="10" xfId="12" applyNumberFormat="1" applyFont="1" applyFill="1" applyBorder="1" applyAlignment="1">
      <alignment horizontal="left" vertical="center" wrapText="1"/>
    </xf>
    <xf numFmtId="164" fontId="33" fillId="8" borderId="11" xfId="12" applyNumberFormat="1" applyFont="1" applyFill="1" applyBorder="1" applyAlignment="1">
      <alignment horizontal="left" vertical="center" wrapText="1"/>
    </xf>
    <xf numFmtId="164" fontId="33" fillId="8" borderId="9" xfId="12" applyNumberFormat="1" applyFont="1" applyFill="1" applyBorder="1" applyAlignment="1">
      <alignment horizontal="left" vertical="center" wrapText="1"/>
    </xf>
    <xf numFmtId="0" fontId="33" fillId="0" borderId="10" xfId="1" applyFont="1" applyFill="1" applyBorder="1" applyAlignment="1">
      <alignment horizontal="left" vertical="center" wrapText="1"/>
    </xf>
    <xf numFmtId="0" fontId="33" fillId="0" borderId="11" xfId="1" applyFont="1" applyFill="1" applyBorder="1" applyAlignment="1">
      <alignment horizontal="left" vertical="center" wrapText="1"/>
    </xf>
    <xf numFmtId="0" fontId="33" fillId="0" borderId="9" xfId="1" applyFont="1" applyFill="1" applyBorder="1" applyAlignment="1">
      <alignment horizontal="left" vertical="center" wrapText="1"/>
    </xf>
    <xf numFmtId="0" fontId="33" fillId="0" borderId="10" xfId="1" applyFont="1" applyFill="1" applyBorder="1" applyAlignment="1">
      <alignment vertical="center" wrapText="1"/>
    </xf>
    <xf numFmtId="0" fontId="33" fillId="0" borderId="11" xfId="1" applyFont="1" applyFill="1" applyBorder="1" applyAlignment="1">
      <alignment vertical="center" wrapText="1"/>
    </xf>
    <xf numFmtId="164" fontId="33" fillId="0" borderId="10" xfId="12" applyNumberFormat="1" applyFont="1" applyFill="1" applyBorder="1" applyAlignment="1">
      <alignment vertical="center" wrapText="1"/>
    </xf>
    <xf numFmtId="164" fontId="33" fillId="0" borderId="11" xfId="12" applyNumberFormat="1" applyFont="1" applyFill="1" applyBorder="1" applyAlignment="1">
      <alignment vertical="center" wrapText="1"/>
    </xf>
    <xf numFmtId="164" fontId="36" fillId="8" borderId="10" xfId="12" applyNumberFormat="1" applyFont="1" applyFill="1" applyBorder="1" applyAlignment="1">
      <alignment vertical="center" wrapText="1"/>
    </xf>
    <xf numFmtId="164" fontId="36" fillId="8" borderId="11" xfId="12" applyNumberFormat="1" applyFont="1" applyFill="1" applyBorder="1" applyAlignment="1">
      <alignment vertical="center" wrapText="1"/>
    </xf>
    <xf numFmtId="164" fontId="36" fillId="8" borderId="9" xfId="12" applyNumberFormat="1" applyFont="1" applyFill="1" applyBorder="1" applyAlignment="1">
      <alignment vertical="center" wrapText="1"/>
    </xf>
    <xf numFmtId="164" fontId="36" fillId="8" borderId="10" xfId="12" applyNumberFormat="1" applyFont="1" applyFill="1" applyBorder="1" applyAlignment="1">
      <alignment horizontal="left" vertical="center" wrapText="1"/>
    </xf>
    <xf numFmtId="164" fontId="36" fillId="8" borderId="11" xfId="12" applyNumberFormat="1" applyFont="1" applyFill="1" applyBorder="1" applyAlignment="1">
      <alignment horizontal="left" vertical="center" wrapText="1"/>
    </xf>
    <xf numFmtId="164" fontId="36" fillId="8" borderId="9" xfId="12"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3"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wrapText="1" indent="1"/>
    </xf>
    <xf numFmtId="0" fontId="3" fillId="3" borderId="12" xfId="0" applyFont="1" applyFill="1" applyBorder="1" applyAlignment="1">
      <alignment horizontal="left" vertical="center"/>
    </xf>
    <xf numFmtId="0" fontId="2" fillId="3" borderId="12" xfId="0" applyFont="1" applyFill="1" applyBorder="1" applyAlignment="1">
      <alignment horizontal="left" vertical="center" wrapText="1"/>
    </xf>
    <xf numFmtId="0" fontId="2" fillId="3" borderId="12" xfId="0" applyFont="1" applyFill="1" applyBorder="1" applyAlignment="1">
      <alignment horizontal="left" vertical="center" wrapText="1" indent="1"/>
    </xf>
    <xf numFmtId="4" fontId="2" fillId="3" borderId="10" xfId="0" applyNumberFormat="1" applyFont="1" applyFill="1" applyBorder="1" applyAlignment="1">
      <alignment horizontal="right" vertical="center" indent="1"/>
    </xf>
    <xf numFmtId="4" fontId="2" fillId="3" borderId="9" xfId="0" applyNumberFormat="1" applyFont="1" applyFill="1" applyBorder="1" applyAlignment="1">
      <alignment horizontal="right" vertical="center" inden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9" xfId="0" applyFont="1" applyFill="1" applyBorder="1" applyAlignment="1">
      <alignment horizontal="left" vertical="center"/>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indent="1"/>
    </xf>
    <xf numFmtId="0" fontId="2" fillId="3" borderId="11" xfId="0" applyFont="1" applyFill="1" applyBorder="1" applyAlignment="1">
      <alignment horizontal="left" vertical="center" indent="1"/>
    </xf>
    <xf numFmtId="3" fontId="2" fillId="3" borderId="10" xfId="0" applyNumberFormat="1" applyFont="1" applyFill="1" applyBorder="1" applyAlignment="1">
      <alignment horizontal="right" vertical="center" indent="1"/>
    </xf>
    <xf numFmtId="3" fontId="2" fillId="3" borderId="11" xfId="0" applyNumberFormat="1" applyFont="1" applyFill="1" applyBorder="1" applyAlignment="1">
      <alignment horizontal="right" vertical="center" indent="1"/>
    </xf>
    <xf numFmtId="3" fontId="2" fillId="3" borderId="9" xfId="0" applyNumberFormat="1" applyFont="1" applyFill="1" applyBorder="1" applyAlignment="1">
      <alignment horizontal="right" vertical="center" indent="1"/>
    </xf>
    <xf numFmtId="4" fontId="2" fillId="3" borderId="11" xfId="0" applyNumberFormat="1" applyFont="1" applyFill="1" applyBorder="1" applyAlignment="1">
      <alignment horizontal="right" vertical="center" indent="1"/>
    </xf>
    <xf numFmtId="171" fontId="2" fillId="3" borderId="10" xfId="0" applyNumberFormat="1" applyFont="1" applyFill="1" applyBorder="1" applyAlignment="1">
      <alignment horizontal="right" vertical="center" indent="1"/>
    </xf>
    <xf numFmtId="171" fontId="2" fillId="3" borderId="11" xfId="0" applyNumberFormat="1" applyFont="1" applyFill="1" applyBorder="1" applyAlignment="1">
      <alignment horizontal="right" vertical="center" indent="1"/>
    </xf>
    <xf numFmtId="171" fontId="2" fillId="3" borderId="9" xfId="0" applyNumberFormat="1" applyFont="1" applyFill="1" applyBorder="1" applyAlignment="1">
      <alignment horizontal="right" vertical="center" indent="1"/>
    </xf>
    <xf numFmtId="172" fontId="2" fillId="3" borderId="10" xfId="0" applyNumberFormat="1" applyFont="1" applyFill="1" applyBorder="1" applyAlignment="1">
      <alignment horizontal="right" vertical="center" indent="1"/>
    </xf>
    <xf numFmtId="172" fontId="2" fillId="3" borderId="11" xfId="0" applyNumberFormat="1" applyFont="1" applyFill="1" applyBorder="1" applyAlignment="1">
      <alignment horizontal="right" vertical="center" indent="1"/>
    </xf>
    <xf numFmtId="172" fontId="2" fillId="3" borderId="9" xfId="0" applyNumberFormat="1" applyFont="1" applyFill="1" applyBorder="1" applyAlignment="1">
      <alignment horizontal="right" vertical="center" indent="1"/>
    </xf>
    <xf numFmtId="0" fontId="2" fillId="3" borderId="9" xfId="0" applyFont="1" applyFill="1" applyBorder="1" applyAlignment="1">
      <alignment horizontal="left" vertical="center" indent="1"/>
    </xf>
    <xf numFmtId="3" fontId="2" fillId="3" borderId="12" xfId="0" applyNumberFormat="1" applyFont="1" applyFill="1" applyBorder="1" applyAlignment="1">
      <alignment horizontal="right" vertical="center" indent="1"/>
    </xf>
    <xf numFmtId="0" fontId="2" fillId="3" borderId="12" xfId="0" applyFont="1" applyFill="1" applyBorder="1" applyAlignment="1">
      <alignment vertical="center" wrapText="1"/>
    </xf>
    <xf numFmtId="0" fontId="2" fillId="3" borderId="12" xfId="0" applyFont="1" applyFill="1" applyBorder="1" applyAlignment="1">
      <alignment horizontal="left" vertical="center" indent="1"/>
    </xf>
    <xf numFmtId="0" fontId="2" fillId="3" borderId="12"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2" borderId="12" xfId="0" applyFont="1" applyFill="1" applyBorder="1" applyAlignment="1">
      <alignment horizontal="center" vertical="center" wrapText="1"/>
    </xf>
    <xf numFmtId="0" fontId="8" fillId="3" borderId="12" xfId="0" applyFont="1" applyFill="1" applyBorder="1" applyAlignment="1">
      <alignment horizontal="left" vertical="center" wrapText="1"/>
    </xf>
    <xf numFmtId="0" fontId="2" fillId="0" borderId="12" xfId="0" applyFont="1" applyFill="1" applyBorder="1" applyAlignment="1">
      <alignment horizontal="right"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9" xfId="0" applyFont="1" applyFill="1" applyBorder="1" applyAlignment="1">
      <alignment horizontal="left" vertical="center"/>
    </xf>
    <xf numFmtId="0" fontId="2" fillId="3" borderId="12" xfId="0" applyFont="1" applyFill="1" applyBorder="1" applyAlignment="1">
      <alignment horizontal="left" vertical="center"/>
    </xf>
    <xf numFmtId="0" fontId="2" fillId="3" borderId="12" xfId="0" applyFont="1" applyFill="1" applyBorder="1" applyAlignment="1">
      <alignment horizontal="justify"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2" fillId="3" borderId="10"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4" fontId="2" fillId="3" borderId="12" xfId="0" applyNumberFormat="1" applyFont="1" applyFill="1" applyBorder="1" applyAlignment="1">
      <alignment horizontal="right" vertical="center" inden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6" xfId="0" applyFont="1" applyFill="1" applyBorder="1" applyAlignment="1">
      <alignment horizontal="left" vertical="center" wrapText="1"/>
    </xf>
    <xf numFmtId="4" fontId="12" fillId="3" borderId="12" xfId="0" applyNumberFormat="1" applyFont="1" applyFill="1" applyBorder="1" applyAlignment="1">
      <alignment horizontal="right" vertical="center" wrapText="1" indent="1"/>
    </xf>
    <xf numFmtId="4" fontId="8" fillId="3" borderId="12" xfId="0" applyNumberFormat="1" applyFont="1" applyFill="1" applyBorder="1" applyAlignment="1">
      <alignment horizontal="left" vertical="center" wrapText="1"/>
    </xf>
    <xf numFmtId="4" fontId="41" fillId="3" borderId="12" xfId="0" applyNumberFormat="1" applyFont="1" applyFill="1" applyBorder="1" applyAlignment="1">
      <alignment horizontal="left" vertical="center" wrapText="1"/>
    </xf>
    <xf numFmtId="3" fontId="12" fillId="3" borderId="10" xfId="0" applyNumberFormat="1" applyFont="1" applyFill="1" applyBorder="1" applyAlignment="1">
      <alignment horizontal="right" vertical="center" wrapText="1" indent="1"/>
    </xf>
    <xf numFmtId="3" fontId="12" fillId="3" borderId="11" xfId="0" applyNumberFormat="1" applyFont="1" applyFill="1" applyBorder="1" applyAlignment="1">
      <alignment horizontal="right" vertical="center" wrapText="1" indent="1"/>
    </xf>
    <xf numFmtId="3" fontId="12" fillId="3" borderId="9" xfId="0" applyNumberFormat="1" applyFont="1" applyFill="1" applyBorder="1" applyAlignment="1">
      <alignment horizontal="right" vertical="center" wrapText="1" indent="1"/>
    </xf>
    <xf numFmtId="4" fontId="12" fillId="3" borderId="10" xfId="0" applyNumberFormat="1" applyFont="1" applyFill="1" applyBorder="1" applyAlignment="1">
      <alignment horizontal="right" vertical="center" wrapText="1" indent="1"/>
    </xf>
    <xf numFmtId="4" fontId="12" fillId="3" borderId="11" xfId="0" applyNumberFormat="1" applyFont="1" applyFill="1" applyBorder="1" applyAlignment="1">
      <alignment horizontal="right" vertical="center" wrapText="1" indent="1"/>
    </xf>
    <xf numFmtId="4" fontId="12" fillId="3" borderId="9" xfId="0" applyNumberFormat="1" applyFont="1" applyFill="1" applyBorder="1" applyAlignment="1">
      <alignment horizontal="right" vertical="center" wrapText="1" indent="1"/>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2" fillId="3" borderId="9"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0" xfId="0" applyFont="1" applyFill="1" applyBorder="1" applyAlignment="1">
      <alignment horizontal="left" vertical="center" wrapText="1" indent="1"/>
    </xf>
    <xf numFmtId="0" fontId="12" fillId="3" borderId="9" xfId="0" applyFont="1" applyFill="1" applyBorder="1" applyAlignment="1">
      <alignment horizontal="left" vertical="center" wrapText="1" indent="1"/>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10"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9" xfId="1" applyFont="1" applyFill="1" applyBorder="1" applyAlignment="1">
      <alignment horizontal="left" vertical="center" wrapText="1"/>
    </xf>
    <xf numFmtId="0" fontId="12" fillId="3" borderId="12" xfId="0" applyFont="1" applyFill="1" applyBorder="1" applyAlignment="1">
      <alignment horizontal="left" vertical="center" wrapText="1" indent="1"/>
    </xf>
    <xf numFmtId="0" fontId="12" fillId="3" borderId="1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1" xfId="0" applyFont="1" applyFill="1" applyBorder="1" applyAlignment="1">
      <alignment horizontal="left" vertical="center" wrapText="1" indent="1"/>
    </xf>
    <xf numFmtId="0" fontId="12" fillId="3" borderId="11" xfId="0" applyFont="1" applyFill="1" applyBorder="1" applyAlignment="1">
      <alignment horizontal="left" vertical="center" wrapText="1"/>
    </xf>
    <xf numFmtId="0" fontId="2" fillId="3" borderId="12" xfId="0" applyFont="1" applyFill="1" applyBorder="1" applyAlignment="1">
      <alignment horizontal="right" vertical="center"/>
    </xf>
    <xf numFmtId="2" fontId="2" fillId="3" borderId="12" xfId="0" applyNumberFormat="1" applyFont="1" applyFill="1" applyBorder="1" applyAlignment="1">
      <alignment horizontal="right" vertical="center"/>
    </xf>
    <xf numFmtId="0" fontId="12" fillId="3" borderId="12" xfId="1" applyFont="1" applyFill="1" applyBorder="1" applyAlignment="1">
      <alignment horizontal="left" vertical="center" wrapText="1" inden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2" fillId="3" borderId="12" xfId="0" applyFont="1" applyFill="1" applyBorder="1" applyAlignment="1">
      <alignment vertical="center" wrapText="1"/>
    </xf>
    <xf numFmtId="0" fontId="12" fillId="3" borderId="12" xfId="1" applyFont="1" applyFill="1" applyBorder="1" applyAlignment="1">
      <alignmen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9" xfId="0" applyFont="1" applyFill="1" applyBorder="1" applyAlignment="1">
      <alignment horizontal="right" vertical="center"/>
    </xf>
    <xf numFmtId="49" fontId="12" fillId="3" borderId="12" xfId="1" applyNumberFormat="1" applyFont="1" applyFill="1" applyBorder="1" applyAlignment="1">
      <alignment horizontal="left" vertical="center" wrapText="1" indent="1"/>
    </xf>
    <xf numFmtId="0" fontId="12" fillId="3" borderId="10" xfId="1" applyFont="1" applyFill="1" applyBorder="1" applyAlignment="1">
      <alignment horizontal="left" vertical="center" wrapText="1" indent="1"/>
    </xf>
    <xf numFmtId="0" fontId="12" fillId="3" borderId="11" xfId="1" applyFont="1" applyFill="1" applyBorder="1" applyAlignment="1">
      <alignment horizontal="left" vertical="center" wrapText="1" indent="1"/>
    </xf>
    <xf numFmtId="0" fontId="12" fillId="3" borderId="9" xfId="1" applyFont="1" applyFill="1" applyBorder="1" applyAlignment="1">
      <alignment horizontal="left" vertical="center" wrapText="1" indent="1"/>
    </xf>
    <xf numFmtId="0" fontId="10"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9" xfId="0" applyFont="1" applyFill="1" applyBorder="1" applyAlignment="1">
      <alignment horizontal="left" vertical="center"/>
    </xf>
    <xf numFmtId="3" fontId="12" fillId="3" borderId="10" xfId="0" applyNumberFormat="1" applyFont="1" applyFill="1" applyBorder="1" applyAlignment="1">
      <alignment horizontal="right" vertical="center" indent="1"/>
    </xf>
    <xf numFmtId="3" fontId="12" fillId="3" borderId="9" xfId="0" applyNumberFormat="1" applyFont="1" applyFill="1" applyBorder="1" applyAlignment="1">
      <alignment horizontal="right" vertical="center" indent="1"/>
    </xf>
    <xf numFmtId="0" fontId="4" fillId="3" borderId="10" xfId="0" applyFont="1" applyFill="1" applyBorder="1" applyAlignment="1">
      <alignment horizontal="left" vertical="center"/>
    </xf>
    <xf numFmtId="0" fontId="4" fillId="3" borderId="9" xfId="0" applyFont="1" applyFill="1" applyBorder="1" applyAlignment="1">
      <alignment horizontal="left" vertical="center"/>
    </xf>
    <xf numFmtId="0" fontId="12" fillId="3" borderId="10" xfId="0" applyFont="1" applyFill="1" applyBorder="1" applyAlignment="1">
      <alignment horizontal="left" vertical="center" indent="2"/>
    </xf>
    <xf numFmtId="0" fontId="12" fillId="3" borderId="9" xfId="0" applyFont="1" applyFill="1" applyBorder="1" applyAlignment="1">
      <alignment horizontal="left" vertical="center" indent="2"/>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 fontId="12" fillId="3" borderId="10" xfId="0" applyNumberFormat="1" applyFont="1" applyFill="1" applyBorder="1" applyAlignment="1" applyProtection="1">
      <alignment horizontal="right" vertical="center" wrapText="1" indent="1"/>
      <protection locked="0"/>
    </xf>
    <xf numFmtId="4" fontId="12" fillId="3" borderId="9" xfId="0" applyNumberFormat="1" applyFont="1" applyFill="1" applyBorder="1" applyAlignment="1" applyProtection="1">
      <alignment horizontal="right" vertical="center" wrapText="1" indent="1"/>
      <protection locked="0"/>
    </xf>
    <xf numFmtId="4" fontId="12" fillId="3" borderId="10" xfId="0" applyNumberFormat="1" applyFont="1" applyFill="1" applyBorder="1" applyAlignment="1">
      <alignment horizontal="right" vertical="center" indent="1"/>
    </xf>
    <xf numFmtId="4" fontId="12" fillId="3" borderId="9" xfId="0" applyNumberFormat="1" applyFont="1" applyFill="1" applyBorder="1" applyAlignment="1">
      <alignment horizontal="right" vertical="center" indent="1"/>
    </xf>
    <xf numFmtId="4" fontId="12" fillId="3" borderId="10" xfId="0" applyNumberFormat="1" applyFont="1" applyFill="1" applyBorder="1" applyAlignment="1">
      <alignment horizontal="center" vertical="center"/>
    </xf>
    <xf numFmtId="4" fontId="12" fillId="3" borderId="9" xfId="0" applyNumberFormat="1" applyFont="1" applyFill="1" applyBorder="1" applyAlignment="1">
      <alignment horizontal="center" vertical="center"/>
    </xf>
    <xf numFmtId="4" fontId="2" fillId="3" borderId="10" xfId="0" applyNumberFormat="1" applyFont="1" applyFill="1" applyBorder="1" applyAlignment="1">
      <alignment horizontal="center" vertical="center"/>
    </xf>
    <xf numFmtId="4" fontId="2" fillId="3" borderId="11" xfId="0" applyNumberFormat="1" applyFont="1" applyFill="1" applyBorder="1" applyAlignment="1">
      <alignment horizontal="center" vertical="center"/>
    </xf>
    <xf numFmtId="4" fontId="2" fillId="3" borderId="9" xfId="0" applyNumberFormat="1" applyFont="1" applyFill="1" applyBorder="1" applyAlignment="1">
      <alignment horizontal="center" vertical="center"/>
    </xf>
    <xf numFmtId="4" fontId="8" fillId="3" borderId="13" xfId="0" applyNumberFormat="1" applyFont="1" applyFill="1" applyBorder="1" applyAlignment="1">
      <alignment horizontal="left" vertical="center"/>
    </xf>
    <xf numFmtId="4" fontId="8" fillId="3" borderId="14" xfId="0" applyNumberFormat="1" applyFont="1" applyFill="1" applyBorder="1" applyAlignment="1">
      <alignment horizontal="left" vertical="center"/>
    </xf>
    <xf numFmtId="0" fontId="30" fillId="3" borderId="12" xfId="0" applyFont="1" applyFill="1" applyBorder="1" applyAlignment="1">
      <alignment horizontal="left" vertical="center"/>
    </xf>
    <xf numFmtId="0" fontId="29" fillId="3" borderId="12" xfId="0" applyFont="1" applyFill="1" applyBorder="1" applyAlignment="1">
      <alignment horizontal="left" vertical="center" wrapText="1"/>
    </xf>
    <xf numFmtId="0" fontId="29" fillId="3" borderId="12" xfId="0" applyFont="1" applyFill="1" applyBorder="1" applyAlignment="1">
      <alignment horizontal="left" vertical="center" indent="1"/>
    </xf>
    <xf numFmtId="0" fontId="10" fillId="3" borderId="12" xfId="0" applyFont="1" applyFill="1" applyBorder="1" applyAlignment="1">
      <alignment horizontal="left" vertical="center"/>
    </xf>
    <xf numFmtId="3" fontId="11" fillId="3" borderId="12" xfId="0" applyNumberFormat="1"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0"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1" fontId="10" fillId="3" borderId="12" xfId="0" applyNumberFormat="1" applyFont="1" applyFill="1" applyBorder="1" applyAlignment="1">
      <alignment horizontal="left" vertical="center"/>
    </xf>
    <xf numFmtId="0" fontId="10" fillId="3" borderId="12"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9" xfId="0" applyFont="1" applyFill="1" applyBorder="1" applyAlignment="1">
      <alignment horizontal="left" vertical="center"/>
    </xf>
    <xf numFmtId="4" fontId="8" fillId="3" borderId="13" xfId="0" applyNumberFormat="1" applyFont="1" applyFill="1" applyBorder="1" applyAlignment="1">
      <alignment horizontal="left" vertical="center" wrapText="1"/>
    </xf>
    <xf numFmtId="4" fontId="8" fillId="3" borderId="16" xfId="0" applyNumberFormat="1" applyFont="1" applyFill="1" applyBorder="1" applyAlignment="1">
      <alignment horizontal="left" vertical="center" wrapText="1"/>
    </xf>
    <xf numFmtId="0" fontId="4" fillId="3" borderId="12" xfId="0" applyFont="1" applyFill="1" applyBorder="1" applyAlignment="1">
      <alignment horizontal="left" vertical="center"/>
    </xf>
    <xf numFmtId="0" fontId="49" fillId="3" borderId="10" xfId="13" applyFont="1" applyFill="1" applyBorder="1" applyAlignment="1">
      <alignment horizontal="left" vertical="center" wrapText="1"/>
    </xf>
    <xf numFmtId="0" fontId="49" fillId="3" borderId="9" xfId="13" applyFont="1" applyFill="1" applyBorder="1" applyAlignment="1">
      <alignment horizontal="left" vertical="center" wrapText="1"/>
    </xf>
    <xf numFmtId="0" fontId="8" fillId="3" borderId="12" xfId="0" applyFont="1" applyFill="1" applyBorder="1" applyAlignment="1">
      <alignment horizontal="left" vertical="top" wrapText="1"/>
    </xf>
    <xf numFmtId="0" fontId="4" fillId="3" borderId="12" xfId="0" applyFont="1" applyFill="1" applyBorder="1" applyAlignment="1">
      <alignment horizontal="left" vertical="center" wrapText="1"/>
    </xf>
    <xf numFmtId="0" fontId="12" fillId="3" borderId="12" xfId="0" applyFont="1" applyFill="1" applyBorder="1" applyAlignment="1">
      <alignment horizontal="left" vertical="center" indent="1"/>
    </xf>
    <xf numFmtId="0" fontId="12" fillId="0" borderId="10" xfId="0" applyFont="1" applyFill="1" applyBorder="1" applyAlignment="1">
      <alignment horizontal="left" vertical="center" wrapText="1"/>
    </xf>
    <xf numFmtId="0" fontId="12" fillId="0" borderId="9" xfId="0" applyFont="1" applyFill="1" applyBorder="1" applyAlignment="1">
      <alignment horizontal="left" vertical="center" wrapText="1"/>
    </xf>
    <xf numFmtId="49" fontId="12" fillId="0" borderId="21" xfId="0" applyNumberFormat="1" applyFont="1" applyFill="1" applyBorder="1" applyAlignment="1">
      <alignment horizontal="right" vertical="center" wrapText="1"/>
    </xf>
    <xf numFmtId="49" fontId="12" fillId="0" borderId="22"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cellXfs>
  <cellStyles count="15">
    <cellStyle name="Estilo 1" xfId="3"/>
    <cellStyle name="Excel Built-in Excel Built-in Excel Built-in Excel Built-in Excel Built-in Excel Built-in Excel Built-in Normal" xfId="13"/>
    <cellStyle name="Excel Built-in Normal" xfId="10"/>
    <cellStyle name="Millares" xfId="11" builtinId="3"/>
    <cellStyle name="Millares [0] 2" xfId="4"/>
    <cellStyle name="Millares 2" xfId="14"/>
    <cellStyle name="Normal" xfId="0" builtinId="0"/>
    <cellStyle name="Normal 2" xfId="1"/>
    <cellStyle name="Normal 3" xfId="5"/>
    <cellStyle name="Normal 4" xfId="2"/>
    <cellStyle name="Normal 5" xfId="9"/>
    <cellStyle name="Normal 6" xfId="12"/>
    <cellStyle name="Normal_Hoja1" xfId="8"/>
    <cellStyle name="Porcentaje" xfId="7" builtin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gioncajamarca.gob.pe/sites/default/files/documentos/planificacion/Users/flatorraca/Desktop/Taller%20Sist.%20Planeam/ADMINISTRACI&#211;N/EVALUACION%20POA%202012/Dir_Reg_Energ&#237;a%20Min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velasquez\AppData\Local\Microsoft\Windows\Temporary%20Internet%20Files\Content.IE5\O5TO9T6Y\.ptmp535170\ROMULO%202014\EVALUACI&#211;N%20POI%202014%201ER.SEMESTRE%20final\EVALUACI&#211;N%20CUADROS\OBJETIVOS%20Y%20PRESUPUESTO%20final%20OK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VALUACI&#211;N%20PLAN%20ANUAL%202014CASA24\AGRICULTYURA-A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sheetName val="DATA"/>
    </sheetNames>
    <sheetDataSet>
      <sheetData sheetId="0"/>
      <sheetData sheetId="1" refreshError="1">
        <row r="59">
          <cell r="A59" t="str">
            <v>Familias</v>
          </cell>
        </row>
        <row r="60">
          <cell r="A60" t="str">
            <v>Comunidades</v>
          </cell>
        </row>
        <row r="61">
          <cell r="A61" t="str">
            <v>Habitantes</v>
          </cell>
        </row>
        <row r="62">
          <cell r="A62" t="str">
            <v>Alumnos</v>
          </cell>
        </row>
        <row r="63">
          <cell r="A63" t="str">
            <v>Escribir Aquí Unidad de Medida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U.E CON RESUMEN.1"/>
      <sheetName val="X U.E SIN RESUMEN"/>
      <sheetName val="X EJE.2"/>
      <sheetName val="X O.E.3"/>
      <sheetName val="P.I"/>
      <sheetName val="GASTO.CTE."/>
      <sheetName val="X FUNCIÓN"/>
      <sheetName val="P.I (2)"/>
      <sheetName val="Hoja1"/>
    </sheetNames>
    <sheetDataSet>
      <sheetData sheetId="0">
        <row r="7">
          <cell r="E7">
            <v>127728</v>
          </cell>
          <cell r="F7">
            <v>60307.519999999997</v>
          </cell>
        </row>
        <row r="9">
          <cell r="E9">
            <v>39986</v>
          </cell>
          <cell r="F9">
            <v>19912.939999999999</v>
          </cell>
        </row>
        <row r="11">
          <cell r="E11">
            <v>70009</v>
          </cell>
          <cell r="F11">
            <v>28868.53</v>
          </cell>
        </row>
        <row r="13">
          <cell r="E13">
            <v>11800</v>
          </cell>
          <cell r="F13">
            <v>5769.09</v>
          </cell>
        </row>
        <row r="15">
          <cell r="E15">
            <v>240138</v>
          </cell>
          <cell r="F15">
            <v>92058.43</v>
          </cell>
        </row>
        <row r="17">
          <cell r="E17">
            <v>164369</v>
          </cell>
          <cell r="F17">
            <v>73258.2</v>
          </cell>
        </row>
        <row r="19">
          <cell r="E19">
            <v>230943</v>
          </cell>
          <cell r="F19">
            <v>126739.35</v>
          </cell>
        </row>
        <row r="21">
          <cell r="E21">
            <v>200698</v>
          </cell>
          <cell r="F21">
            <v>100530.41</v>
          </cell>
        </row>
        <row r="23">
          <cell r="E23">
            <v>724672</v>
          </cell>
          <cell r="F23">
            <v>365145.3</v>
          </cell>
        </row>
        <row r="25">
          <cell r="E25">
            <v>237634</v>
          </cell>
          <cell r="F25">
            <v>114211.1</v>
          </cell>
        </row>
        <row r="27">
          <cell r="E27">
            <v>179606</v>
          </cell>
          <cell r="F27">
            <v>87617.46</v>
          </cell>
        </row>
        <row r="29">
          <cell r="E29">
            <v>3825988</v>
          </cell>
          <cell r="F29">
            <v>1588085.62</v>
          </cell>
        </row>
        <row r="32">
          <cell r="E32">
            <v>17305531</v>
          </cell>
          <cell r="F32">
            <v>13206778.779999999</v>
          </cell>
        </row>
        <row r="34">
          <cell r="E34">
            <v>1087301</v>
          </cell>
          <cell r="F34">
            <v>414419.6</v>
          </cell>
        </row>
        <row r="36">
          <cell r="E36">
            <v>146105</v>
          </cell>
          <cell r="F36">
            <v>71333.399999999994</v>
          </cell>
        </row>
        <row r="38">
          <cell r="E38">
            <v>195165</v>
          </cell>
          <cell r="F38">
            <v>116818.72</v>
          </cell>
        </row>
        <row r="40">
          <cell r="E40">
            <v>148710</v>
          </cell>
          <cell r="F40">
            <v>78441.06</v>
          </cell>
        </row>
        <row r="42">
          <cell r="E42">
            <v>3745</v>
          </cell>
          <cell r="F42">
            <v>1297.3499999999999</v>
          </cell>
        </row>
        <row r="44">
          <cell r="E44">
            <v>1237130</v>
          </cell>
          <cell r="F44">
            <v>627401.66</v>
          </cell>
        </row>
        <row r="47">
          <cell r="E47">
            <v>2517237</v>
          </cell>
          <cell r="F47">
            <v>1121520.1299999999</v>
          </cell>
        </row>
        <row r="48">
          <cell r="E48">
            <v>87870</v>
          </cell>
          <cell r="F48">
            <v>0</v>
          </cell>
        </row>
        <row r="49">
          <cell r="E49">
            <v>4696530</v>
          </cell>
          <cell r="F49">
            <v>897267</v>
          </cell>
        </row>
        <row r="50">
          <cell r="E50">
            <v>339672</v>
          </cell>
          <cell r="F50">
            <v>227403.02000000002</v>
          </cell>
        </row>
        <row r="51">
          <cell r="E51">
            <v>1414858</v>
          </cell>
          <cell r="F51">
            <v>283237.68</v>
          </cell>
        </row>
        <row r="53">
          <cell r="E53">
            <v>26428</v>
          </cell>
          <cell r="F53">
            <v>9729.75</v>
          </cell>
        </row>
        <row r="55">
          <cell r="E55">
            <v>80122</v>
          </cell>
          <cell r="F55">
            <v>15866.26</v>
          </cell>
        </row>
        <row r="57">
          <cell r="E57">
            <v>811445</v>
          </cell>
          <cell r="F57">
            <v>414534.77</v>
          </cell>
        </row>
        <row r="59">
          <cell r="E59">
            <v>914912</v>
          </cell>
          <cell r="F59">
            <v>281334.12</v>
          </cell>
        </row>
        <row r="61">
          <cell r="E61">
            <v>890304</v>
          </cell>
          <cell r="F61">
            <v>348578.6</v>
          </cell>
        </row>
        <row r="64">
          <cell r="E64">
            <v>203962</v>
          </cell>
          <cell r="F64">
            <v>90846.28</v>
          </cell>
        </row>
        <row r="65">
          <cell r="E65">
            <v>1683923</v>
          </cell>
          <cell r="F65">
            <v>133730.91</v>
          </cell>
        </row>
        <row r="67">
          <cell r="E67">
            <v>1600750</v>
          </cell>
          <cell r="F67">
            <v>776984.36</v>
          </cell>
        </row>
        <row r="68">
          <cell r="E68">
            <v>165904</v>
          </cell>
          <cell r="F68">
            <v>0</v>
          </cell>
        </row>
        <row r="70">
          <cell r="E70">
            <v>201411</v>
          </cell>
          <cell r="F70">
            <v>85597.55</v>
          </cell>
        </row>
        <row r="72">
          <cell r="E72">
            <v>108655</v>
          </cell>
          <cell r="F72">
            <v>58865.01</v>
          </cell>
        </row>
        <row r="74">
          <cell r="E74">
            <v>109604</v>
          </cell>
          <cell r="F74">
            <v>57583.839999999997</v>
          </cell>
        </row>
        <row r="76">
          <cell r="E76">
            <v>791411</v>
          </cell>
          <cell r="F76">
            <v>404994.34</v>
          </cell>
        </row>
        <row r="78">
          <cell r="E78">
            <v>277033</v>
          </cell>
          <cell r="F78">
            <v>95361.73</v>
          </cell>
        </row>
        <row r="80">
          <cell r="E80">
            <v>2016571</v>
          </cell>
          <cell r="F80">
            <v>529540.72</v>
          </cell>
        </row>
        <row r="83">
          <cell r="E83">
            <v>290794</v>
          </cell>
          <cell r="F83">
            <v>132534.94</v>
          </cell>
        </row>
        <row r="86">
          <cell r="E86">
            <v>26104</v>
          </cell>
          <cell r="F86">
            <v>11319.45</v>
          </cell>
        </row>
        <row r="88">
          <cell r="E88">
            <v>639460</v>
          </cell>
          <cell r="F88">
            <v>283453.38</v>
          </cell>
        </row>
        <row r="90">
          <cell r="E90">
            <v>1713577</v>
          </cell>
          <cell r="F90">
            <v>108155.92</v>
          </cell>
        </row>
        <row r="91">
          <cell r="E91">
            <v>477536</v>
          </cell>
          <cell r="F91">
            <v>236999.42</v>
          </cell>
        </row>
        <row r="93">
          <cell r="E93">
            <v>809017</v>
          </cell>
          <cell r="F93">
            <v>401354.84</v>
          </cell>
        </row>
        <row r="97">
          <cell r="E97">
            <v>3767622</v>
          </cell>
          <cell r="F97">
            <v>571934</v>
          </cell>
        </row>
        <row r="99">
          <cell r="E99">
            <v>22024748</v>
          </cell>
          <cell r="F99">
            <v>4297287.93</v>
          </cell>
        </row>
        <row r="100">
          <cell r="E100">
            <v>90000</v>
          </cell>
          <cell r="F100">
            <v>63450</v>
          </cell>
        </row>
        <row r="101">
          <cell r="E101">
            <v>13584</v>
          </cell>
          <cell r="F101">
            <v>7558.05</v>
          </cell>
        </row>
        <row r="102">
          <cell r="E102">
            <v>18043523</v>
          </cell>
          <cell r="F102">
            <v>5847850.21</v>
          </cell>
        </row>
        <row r="103">
          <cell r="E103">
            <v>11107940</v>
          </cell>
          <cell r="F103">
            <v>301328.34999999998</v>
          </cell>
        </row>
        <row r="104">
          <cell r="E104">
            <v>4948144</v>
          </cell>
          <cell r="F104">
            <v>699488.11</v>
          </cell>
        </row>
        <row r="106">
          <cell r="E106">
            <v>1902925</v>
          </cell>
          <cell r="F106">
            <v>483825.48</v>
          </cell>
        </row>
        <row r="109">
          <cell r="E109">
            <v>5603969</v>
          </cell>
          <cell r="F109">
            <v>1685801.24</v>
          </cell>
        </row>
        <row r="110">
          <cell r="E110">
            <v>1495726</v>
          </cell>
          <cell r="F110">
            <v>127508.11</v>
          </cell>
        </row>
        <row r="112">
          <cell r="E112">
            <v>93744</v>
          </cell>
          <cell r="F112">
            <v>46527.46</v>
          </cell>
        </row>
        <row r="115">
          <cell r="E115">
            <v>3516065</v>
          </cell>
          <cell r="F115">
            <v>391631.7</v>
          </cell>
        </row>
        <row r="116">
          <cell r="E116">
            <v>38033</v>
          </cell>
          <cell r="F116">
            <v>0</v>
          </cell>
        </row>
        <row r="117">
          <cell r="E117">
            <v>2756681</v>
          </cell>
          <cell r="F117">
            <v>1088986.1499999999</v>
          </cell>
        </row>
        <row r="118">
          <cell r="E118">
            <v>41000</v>
          </cell>
          <cell r="F118">
            <v>0</v>
          </cell>
        </row>
        <row r="119">
          <cell r="E119">
            <v>171740</v>
          </cell>
          <cell r="F119">
            <v>180</v>
          </cell>
        </row>
        <row r="120">
          <cell r="E120">
            <v>386921</v>
          </cell>
          <cell r="F120">
            <v>233558.02</v>
          </cell>
        </row>
        <row r="121">
          <cell r="E121">
            <v>4443179</v>
          </cell>
          <cell r="F121">
            <v>3513430.89</v>
          </cell>
        </row>
        <row r="122">
          <cell r="E122">
            <v>2650359</v>
          </cell>
          <cell r="F122">
            <v>608354.5</v>
          </cell>
        </row>
        <row r="125">
          <cell r="E125">
            <v>11248159</v>
          </cell>
          <cell r="F125">
            <v>1804274.61</v>
          </cell>
        </row>
        <row r="126">
          <cell r="E126">
            <v>745200</v>
          </cell>
          <cell r="F126">
            <v>315000</v>
          </cell>
        </row>
        <row r="127">
          <cell r="E127">
            <v>12000</v>
          </cell>
          <cell r="F127">
            <v>3000</v>
          </cell>
        </row>
        <row r="128">
          <cell r="E128">
            <v>271577</v>
          </cell>
          <cell r="F128">
            <v>201836.79999999999</v>
          </cell>
        </row>
        <row r="129">
          <cell r="E129">
            <v>505582</v>
          </cell>
          <cell r="F129">
            <v>362334.19</v>
          </cell>
        </row>
        <row r="130">
          <cell r="E130">
            <v>2959870</v>
          </cell>
          <cell r="F130">
            <v>1788861.56</v>
          </cell>
        </row>
        <row r="131">
          <cell r="E131">
            <v>954620</v>
          </cell>
          <cell r="F131">
            <v>0</v>
          </cell>
        </row>
        <row r="132">
          <cell r="E132">
            <v>1926149</v>
          </cell>
          <cell r="F132">
            <v>844856.98</v>
          </cell>
        </row>
        <row r="133">
          <cell r="E133">
            <v>2154225</v>
          </cell>
          <cell r="F133">
            <v>947224.39</v>
          </cell>
        </row>
        <row r="136">
          <cell r="E136">
            <v>10319593</v>
          </cell>
          <cell r="F136">
            <v>4313546.2699999996</v>
          </cell>
        </row>
        <row r="137">
          <cell r="E137">
            <v>240773</v>
          </cell>
          <cell r="F137">
            <v>13768.359999999999</v>
          </cell>
        </row>
        <row r="138">
          <cell r="E138">
            <v>1033643</v>
          </cell>
          <cell r="F138">
            <v>0</v>
          </cell>
        </row>
        <row r="139">
          <cell r="E139">
            <v>10000</v>
          </cell>
          <cell r="F139">
            <v>0</v>
          </cell>
        </row>
        <row r="140">
          <cell r="E140">
            <v>18624</v>
          </cell>
          <cell r="F140">
            <v>0</v>
          </cell>
        </row>
        <row r="141">
          <cell r="E141">
            <v>5962730</v>
          </cell>
          <cell r="F141">
            <v>2540006.21</v>
          </cell>
        </row>
        <row r="142">
          <cell r="E142">
            <v>524901</v>
          </cell>
          <cell r="F142">
            <v>118103.74</v>
          </cell>
        </row>
        <row r="145">
          <cell r="E145">
            <v>22220543</v>
          </cell>
          <cell r="F145">
            <v>5467436.0299999993</v>
          </cell>
        </row>
        <row r="146">
          <cell r="E146">
            <v>20950224</v>
          </cell>
          <cell r="F146">
            <v>10242408.579999998</v>
          </cell>
        </row>
        <row r="147">
          <cell r="E147">
            <v>15529722</v>
          </cell>
          <cell r="F147">
            <v>9368050.0099999979</v>
          </cell>
        </row>
        <row r="148">
          <cell r="E148">
            <v>580</v>
          </cell>
          <cell r="F148">
            <v>0</v>
          </cell>
        </row>
        <row r="149">
          <cell r="E149">
            <v>26878032</v>
          </cell>
          <cell r="F149">
            <v>13480576.59</v>
          </cell>
        </row>
        <row r="150">
          <cell r="E150">
            <v>944595</v>
          </cell>
          <cell r="F150">
            <v>540853</v>
          </cell>
        </row>
        <row r="152">
          <cell r="E152">
            <v>2611123</v>
          </cell>
          <cell r="F152">
            <v>1153774.6200000001</v>
          </cell>
        </row>
        <row r="153">
          <cell r="E153">
            <v>4478601</v>
          </cell>
          <cell r="F153">
            <v>201048.04</v>
          </cell>
        </row>
        <row r="154">
          <cell r="E154">
            <v>2765920</v>
          </cell>
          <cell r="F154">
            <v>2222573.34</v>
          </cell>
        </row>
        <row r="155">
          <cell r="E155">
            <v>17356238</v>
          </cell>
          <cell r="F155">
            <v>7226825.5499999998</v>
          </cell>
        </row>
        <row r="156">
          <cell r="E156">
            <v>673337</v>
          </cell>
          <cell r="F156">
            <v>70802</v>
          </cell>
        </row>
        <row r="158">
          <cell r="E158">
            <v>21141553</v>
          </cell>
          <cell r="F158">
            <v>5714312.4299999997</v>
          </cell>
        </row>
        <row r="159">
          <cell r="E159">
            <v>379302</v>
          </cell>
          <cell r="F159">
            <v>185779.22</v>
          </cell>
        </row>
        <row r="161">
          <cell r="E161">
            <v>29477268</v>
          </cell>
          <cell r="F161">
            <v>12754822.060000001</v>
          </cell>
        </row>
        <row r="163">
          <cell r="E163">
            <v>71015751</v>
          </cell>
          <cell r="F163">
            <v>34394020.979999997</v>
          </cell>
        </row>
        <row r="165">
          <cell r="E165">
            <v>64898923</v>
          </cell>
          <cell r="F165">
            <v>33898332.689999998</v>
          </cell>
        </row>
        <row r="166">
          <cell r="E166">
            <v>89384491</v>
          </cell>
          <cell r="F166">
            <v>45021150.289999999</v>
          </cell>
        </row>
        <row r="169">
          <cell r="E169">
            <v>65267338</v>
          </cell>
          <cell r="F169">
            <v>32323539.550000001</v>
          </cell>
        </row>
        <row r="171">
          <cell r="E171">
            <v>29644787</v>
          </cell>
          <cell r="F171">
            <v>15542694.57</v>
          </cell>
        </row>
        <row r="173">
          <cell r="E173">
            <v>27474184</v>
          </cell>
          <cell r="F173">
            <v>15253318.85</v>
          </cell>
        </row>
        <row r="175">
          <cell r="E175">
            <v>33465315</v>
          </cell>
          <cell r="F175">
            <v>16377172.800000001</v>
          </cell>
        </row>
        <row r="177">
          <cell r="E177">
            <v>35197860</v>
          </cell>
          <cell r="F177">
            <v>20094553.260000002</v>
          </cell>
        </row>
        <row r="179">
          <cell r="E179">
            <v>129369002</v>
          </cell>
          <cell r="F179">
            <v>66884388.090000004</v>
          </cell>
        </row>
        <row r="181">
          <cell r="E181">
            <v>22789698</v>
          </cell>
          <cell r="F181">
            <v>11305878.35</v>
          </cell>
        </row>
        <row r="183">
          <cell r="E183">
            <v>18374734</v>
          </cell>
          <cell r="F183">
            <v>10315297.310000001</v>
          </cell>
        </row>
        <row r="185">
          <cell r="E185">
            <v>27694627</v>
          </cell>
          <cell r="F185">
            <v>14880518.66</v>
          </cell>
        </row>
        <row r="187">
          <cell r="E187">
            <v>11234702</v>
          </cell>
          <cell r="F187">
            <v>6315590.1100000003</v>
          </cell>
        </row>
        <row r="189">
          <cell r="E189">
            <v>84459616</v>
          </cell>
          <cell r="F189">
            <v>32971548.559999999</v>
          </cell>
        </row>
        <row r="190">
          <cell r="E190">
            <v>42769556</v>
          </cell>
          <cell r="F190">
            <v>19852177.120000001</v>
          </cell>
        </row>
        <row r="193">
          <cell r="E193">
            <v>29458084</v>
          </cell>
          <cell r="F193">
            <v>13519626.93</v>
          </cell>
        </row>
        <row r="195">
          <cell r="E195">
            <v>47664380</v>
          </cell>
          <cell r="F195">
            <v>19140814.579999998</v>
          </cell>
        </row>
        <row r="197">
          <cell r="E197">
            <v>43167078</v>
          </cell>
          <cell r="F197">
            <v>20740808.969999999</v>
          </cell>
        </row>
        <row r="199">
          <cell r="E199">
            <v>12386156</v>
          </cell>
          <cell r="F199">
            <v>5805926.4199999999</v>
          </cell>
        </row>
        <row r="201">
          <cell r="E201">
            <v>5914760</v>
          </cell>
          <cell r="F201">
            <v>1686413.09</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ta Cruz"/>
      <sheetName val="San Pablo"/>
      <sheetName val="San Miguel"/>
      <sheetName val="San Marcos"/>
      <sheetName val="San Igancio"/>
      <sheetName val="Jaén"/>
      <sheetName val="Cutervo"/>
      <sheetName val="Contumazá"/>
      <sheetName val="Chota"/>
      <sheetName val="Celendín"/>
      <sheetName val="Cajabamba"/>
      <sheetName val="Bambamarca"/>
      <sheetName val="Cajamarca"/>
      <sheetName val="Resumen Agencias Agrarias"/>
      <sheetName val="DRAC"/>
      <sheetName val="POA Agencias Programado"/>
      <sheetName val="POA Agencias Evalu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37"/>
  <sheetViews>
    <sheetView workbookViewId="0">
      <selection activeCell="A6" sqref="A6:B135"/>
    </sheetView>
  </sheetViews>
  <sheetFormatPr baseColWidth="10" defaultRowHeight="15" x14ac:dyDescent="0.25"/>
  <cols>
    <col min="1" max="1" width="23.85546875" customWidth="1"/>
    <col min="2" max="2" width="23.5703125" customWidth="1"/>
    <col min="4" max="4" width="13" customWidth="1"/>
    <col min="5" max="5" width="16.5703125" customWidth="1"/>
    <col min="6" max="6" width="11.140625" customWidth="1"/>
  </cols>
  <sheetData>
    <row r="1" spans="1:6" x14ac:dyDescent="0.25">
      <c r="A1" s="917" t="s">
        <v>1293</v>
      </c>
      <c r="B1" s="917"/>
      <c r="C1" s="917"/>
      <c r="D1" s="917"/>
      <c r="E1" s="917"/>
      <c r="F1" s="917"/>
    </row>
    <row r="2" spans="1:6" x14ac:dyDescent="0.25">
      <c r="A2" s="918" t="s">
        <v>1294</v>
      </c>
      <c r="B2" s="918"/>
      <c r="C2" s="918"/>
      <c r="D2" s="918"/>
      <c r="E2" s="918"/>
      <c r="F2" s="918"/>
    </row>
    <row r="3" spans="1:6" x14ac:dyDescent="0.25">
      <c r="A3" s="185"/>
      <c r="B3" s="185"/>
      <c r="C3" s="185"/>
      <c r="D3" s="185"/>
      <c r="E3" s="185"/>
      <c r="F3" s="185"/>
    </row>
    <row r="4" spans="1:6" ht="33.75" x14ac:dyDescent="0.25">
      <c r="A4" s="186" t="s">
        <v>1295</v>
      </c>
      <c r="B4" s="187" t="s">
        <v>1296</v>
      </c>
      <c r="C4" s="188" t="s">
        <v>1297</v>
      </c>
      <c r="D4" s="236" t="s">
        <v>1298</v>
      </c>
      <c r="E4" s="237" t="s">
        <v>1299</v>
      </c>
      <c r="F4" s="237" t="s">
        <v>1300</v>
      </c>
    </row>
    <row r="5" spans="1:6" x14ac:dyDescent="0.25">
      <c r="A5" s="189"/>
      <c r="B5" s="189" t="s">
        <v>1301</v>
      </c>
      <c r="C5" s="190">
        <f>SUM(C6:C27)</f>
        <v>704549587</v>
      </c>
      <c r="D5" s="238">
        <f>SUM(D6:D27)</f>
        <v>347099229.18000007</v>
      </c>
      <c r="E5" s="239">
        <f t="shared" ref="E5:E68" si="0">+D5/C5*100</f>
        <v>49.265408082625143</v>
      </c>
      <c r="F5" s="240">
        <f t="shared" ref="F5:F31" si="1">+D5/$D$136*100</f>
        <v>61.721854811934648</v>
      </c>
    </row>
    <row r="6" spans="1:6" ht="33.75" x14ac:dyDescent="0.25">
      <c r="A6" s="919" t="s">
        <v>1302</v>
      </c>
      <c r="B6" s="191" t="s">
        <v>1346</v>
      </c>
      <c r="C6" s="192">
        <f>+'[2]X U.E CON RESUMEN.1'!E67</f>
        <v>1600750</v>
      </c>
      <c r="D6" s="241">
        <f>+'[2]X U.E CON RESUMEN.1'!F67</f>
        <v>776984.36</v>
      </c>
      <c r="E6" s="242">
        <f>+D6/C6*100</f>
        <v>48.538769951585195</v>
      </c>
      <c r="F6" s="243">
        <f t="shared" si="1"/>
        <v>0.13816485842494997</v>
      </c>
    </row>
    <row r="7" spans="1:6" ht="45" x14ac:dyDescent="0.25">
      <c r="A7" s="920"/>
      <c r="B7" s="191" t="s">
        <v>1347</v>
      </c>
      <c r="C7" s="192">
        <f>+'[2]X U.E CON RESUMEN.1'!E68</f>
        <v>165904</v>
      </c>
      <c r="D7" s="241">
        <f>+'[2]X U.E CON RESUMEN.1'!F68</f>
        <v>0</v>
      </c>
      <c r="E7" s="242">
        <f t="shared" si="0"/>
        <v>0</v>
      </c>
      <c r="F7" s="243">
        <f t="shared" si="1"/>
        <v>0</v>
      </c>
    </row>
    <row r="8" spans="1:6" ht="22.5" x14ac:dyDescent="0.25">
      <c r="A8" s="920"/>
      <c r="B8" s="191" t="s">
        <v>1303</v>
      </c>
      <c r="C8" s="193">
        <f>+'[2]X U.E CON RESUMEN.1'!E72</f>
        <v>108655</v>
      </c>
      <c r="D8" s="244">
        <f>+'[2]X U.E CON RESUMEN.1'!F72</f>
        <v>58865.01</v>
      </c>
      <c r="E8" s="242">
        <f t="shared" si="0"/>
        <v>54.176071050572915</v>
      </c>
      <c r="F8" s="243">
        <f t="shared" si="1"/>
        <v>1.0467489683876344E-2</v>
      </c>
    </row>
    <row r="9" spans="1:6" ht="22.5" x14ac:dyDescent="0.25">
      <c r="A9" s="920"/>
      <c r="B9" s="194" t="s">
        <v>1348</v>
      </c>
      <c r="C9" s="192">
        <f>+'[2]X U.E CON RESUMEN.1'!E78</f>
        <v>277033</v>
      </c>
      <c r="D9" s="241">
        <f>+'[2]X U.E CON RESUMEN.1'!F78</f>
        <v>95361.73</v>
      </c>
      <c r="E9" s="242">
        <f t="shared" si="0"/>
        <v>34.422516451108706</v>
      </c>
      <c r="F9" s="243">
        <f t="shared" si="1"/>
        <v>1.6957406870594285E-2</v>
      </c>
    </row>
    <row r="10" spans="1:6" x14ac:dyDescent="0.25">
      <c r="A10" s="920"/>
      <c r="B10" s="195" t="s">
        <v>1304</v>
      </c>
      <c r="C10" s="192">
        <f>+'[2]X U.E CON RESUMEN.1'!E125</f>
        <v>11248159</v>
      </c>
      <c r="D10" s="241">
        <f>+'[2]X U.E CON RESUMEN.1'!F125</f>
        <v>1804274.61</v>
      </c>
      <c r="E10" s="242">
        <f t="shared" si="0"/>
        <v>16.040621491925926</v>
      </c>
      <c r="F10" s="243">
        <f t="shared" si="1"/>
        <v>0.32083959328393924</v>
      </c>
    </row>
    <row r="11" spans="1:6" ht="33.75" x14ac:dyDescent="0.25">
      <c r="A11" s="920"/>
      <c r="B11" s="196" t="s">
        <v>1351</v>
      </c>
      <c r="C11" s="192">
        <f>+'[2]X U.E CON RESUMEN.1'!E99</f>
        <v>22024748</v>
      </c>
      <c r="D11" s="241">
        <f>+'[2]X U.E CON RESUMEN.1'!F99</f>
        <v>4297287.93</v>
      </c>
      <c r="E11" s="242">
        <f t="shared" si="0"/>
        <v>19.511178652305126</v>
      </c>
      <c r="F11" s="243">
        <f t="shared" si="1"/>
        <v>0.7641520332014099</v>
      </c>
    </row>
    <row r="12" spans="1:6" x14ac:dyDescent="0.25">
      <c r="A12" s="920"/>
      <c r="B12" s="195" t="s">
        <v>1305</v>
      </c>
      <c r="C12" s="192">
        <f>+'[2]X U.E CON RESUMEN.1'!E115</f>
        <v>3516065</v>
      </c>
      <c r="D12" s="241">
        <f>+'[2]X U.E CON RESUMEN.1'!F115</f>
        <v>391631.7</v>
      </c>
      <c r="E12" s="242">
        <f t="shared" si="0"/>
        <v>11.138352106687448</v>
      </c>
      <c r="F12" s="243">
        <f t="shared" si="1"/>
        <v>6.9640704717946283E-2</v>
      </c>
    </row>
    <row r="13" spans="1:6" x14ac:dyDescent="0.25">
      <c r="A13" s="920"/>
      <c r="B13" s="195" t="s">
        <v>1306</v>
      </c>
      <c r="C13" s="192">
        <f>+'[2]X U.E CON RESUMEN.1'!E136</f>
        <v>10319593</v>
      </c>
      <c r="D13" s="241">
        <f>+'[2]X U.E CON RESUMEN.1'!F136</f>
        <v>4313546.2699999996</v>
      </c>
      <c r="E13" s="242">
        <f t="shared" si="0"/>
        <v>41.799577463956183</v>
      </c>
      <c r="F13" s="243">
        <f t="shared" si="1"/>
        <v>0.76704312259775853</v>
      </c>
    </row>
    <row r="14" spans="1:6" ht="33.75" x14ac:dyDescent="0.25">
      <c r="A14" s="920"/>
      <c r="B14" s="195" t="s">
        <v>1352</v>
      </c>
      <c r="C14" s="192">
        <f>+'[2]X U.E CON RESUMEN.1'!E163</f>
        <v>71015751</v>
      </c>
      <c r="D14" s="241">
        <f>+'[2]X U.E CON RESUMEN.1'!F163</f>
        <v>34394020.979999997</v>
      </c>
      <c r="E14" s="242">
        <f t="shared" si="0"/>
        <v>48.431538772292917</v>
      </c>
      <c r="F14" s="243">
        <f t="shared" si="1"/>
        <v>6.1160111889079181</v>
      </c>
    </row>
    <row r="15" spans="1:6" ht="33.75" x14ac:dyDescent="0.25">
      <c r="A15" s="920"/>
      <c r="B15" s="195" t="s">
        <v>1364</v>
      </c>
      <c r="C15" s="192">
        <f>+'[2]X U.E CON RESUMEN.1'!E165</f>
        <v>64898923</v>
      </c>
      <c r="D15" s="241">
        <f>+'[2]X U.E CON RESUMEN.1'!F165</f>
        <v>33898332.689999998</v>
      </c>
      <c r="E15" s="242">
        <f t="shared" si="0"/>
        <v>52.232504212743244</v>
      </c>
      <c r="F15" s="243">
        <f t="shared" si="1"/>
        <v>6.0278669405336585</v>
      </c>
    </row>
    <row r="16" spans="1:6" ht="33.75" x14ac:dyDescent="0.25">
      <c r="A16" s="920"/>
      <c r="B16" s="195" t="s">
        <v>1363</v>
      </c>
      <c r="C16" s="192">
        <f>+'[2]X U.E CON RESUMEN.1'!E166</f>
        <v>89384491</v>
      </c>
      <c r="D16" s="241">
        <f>+'[2]X U.E CON RESUMEN.1'!F166</f>
        <v>45021150.289999999</v>
      </c>
      <c r="E16" s="242">
        <f t="shared" si="0"/>
        <v>50.367966283994392</v>
      </c>
      <c r="F16" s="243">
        <f t="shared" si="1"/>
        <v>8.0057478324869304</v>
      </c>
    </row>
    <row r="17" spans="1:6" ht="33.75" x14ac:dyDescent="0.25">
      <c r="A17" s="920"/>
      <c r="B17" s="195" t="s">
        <v>1362</v>
      </c>
      <c r="C17" s="192">
        <f>+'[2]X U.E CON RESUMEN.1'!E169</f>
        <v>65267338</v>
      </c>
      <c r="D17" s="241">
        <f>+'[2]X U.E CON RESUMEN.1'!F169</f>
        <v>32323539.550000001</v>
      </c>
      <c r="E17" s="242">
        <f t="shared" si="0"/>
        <v>49.524832083698591</v>
      </c>
      <c r="F17" s="243">
        <f t="shared" si="1"/>
        <v>5.7478341851295705</v>
      </c>
    </row>
    <row r="18" spans="1:6" ht="33.75" x14ac:dyDescent="0.25">
      <c r="A18" s="920"/>
      <c r="B18" s="195" t="s">
        <v>1361</v>
      </c>
      <c r="C18" s="192">
        <f>+'[2]X U.E CON RESUMEN.1'!E171</f>
        <v>29644787</v>
      </c>
      <c r="D18" s="241">
        <f>+'[2]X U.E CON RESUMEN.1'!F171</f>
        <v>15542694.57</v>
      </c>
      <c r="E18" s="242">
        <f t="shared" si="0"/>
        <v>52.429773133468629</v>
      </c>
      <c r="F18" s="243">
        <f t="shared" si="1"/>
        <v>2.7638319448364297</v>
      </c>
    </row>
    <row r="19" spans="1:6" ht="33.75" x14ac:dyDescent="0.25">
      <c r="A19" s="920"/>
      <c r="B19" s="195" t="s">
        <v>1360</v>
      </c>
      <c r="C19" s="192">
        <f>+'[2]X U.E CON RESUMEN.1'!E173</f>
        <v>27474184</v>
      </c>
      <c r="D19" s="241">
        <f>+'[2]X U.E CON RESUMEN.1'!F173</f>
        <v>15253318.85</v>
      </c>
      <c r="E19" s="242">
        <f t="shared" si="0"/>
        <v>55.518732967647011</v>
      </c>
      <c r="F19" s="243">
        <f t="shared" si="1"/>
        <v>2.7123745958295356</v>
      </c>
    </row>
    <row r="20" spans="1:6" ht="33.75" x14ac:dyDescent="0.25">
      <c r="A20" s="920"/>
      <c r="B20" s="195" t="s">
        <v>1359</v>
      </c>
      <c r="C20" s="192">
        <f>+'[2]X U.E CON RESUMEN.1'!E175</f>
        <v>33465315</v>
      </c>
      <c r="D20" s="241">
        <f>+'[2]X U.E CON RESUMEN.1'!F175</f>
        <v>16377172.800000001</v>
      </c>
      <c r="E20" s="242">
        <f t="shared" si="0"/>
        <v>48.937751818561999</v>
      </c>
      <c r="F20" s="243">
        <f t="shared" si="1"/>
        <v>2.9122204741842439</v>
      </c>
    </row>
    <row r="21" spans="1:6" ht="33.75" x14ac:dyDescent="0.25">
      <c r="A21" s="920"/>
      <c r="B21" s="195" t="s">
        <v>1358</v>
      </c>
      <c r="C21" s="192">
        <f>+'[2]X U.E CON RESUMEN.1'!E177</f>
        <v>35197860</v>
      </c>
      <c r="D21" s="241">
        <f>+'[2]X U.E CON RESUMEN.1'!F177</f>
        <v>20094553.260000002</v>
      </c>
      <c r="E21" s="242">
        <f t="shared" si="0"/>
        <v>57.090269862997353</v>
      </c>
      <c r="F21" s="243">
        <f t="shared" si="1"/>
        <v>3.5732522418862032</v>
      </c>
    </row>
    <row r="22" spans="1:6" ht="33.75" x14ac:dyDescent="0.25">
      <c r="A22" s="920"/>
      <c r="B22" s="195" t="s">
        <v>1357</v>
      </c>
      <c r="C22" s="192">
        <f>+'[2]X U.E CON RESUMEN.1'!E179</f>
        <v>129369002</v>
      </c>
      <c r="D22" s="241">
        <f>+'[2]X U.E CON RESUMEN.1'!F179</f>
        <v>66884388.090000004</v>
      </c>
      <c r="E22" s="242">
        <f t="shared" si="0"/>
        <v>51.700474654662642</v>
      </c>
      <c r="F22" s="243">
        <f t="shared" si="1"/>
        <v>11.893510972723131</v>
      </c>
    </row>
    <row r="23" spans="1:6" ht="33.75" x14ac:dyDescent="0.25">
      <c r="A23" s="920"/>
      <c r="B23" s="195" t="s">
        <v>1356</v>
      </c>
      <c r="C23" s="192">
        <f>+'[2]X U.E CON RESUMEN.1'!E181</f>
        <v>22789698</v>
      </c>
      <c r="D23" s="241">
        <f>+'[2]X U.E CON RESUMEN.1'!F181</f>
        <v>11305878.35</v>
      </c>
      <c r="E23" s="242">
        <f t="shared" si="0"/>
        <v>49.609601452375543</v>
      </c>
      <c r="F23" s="243">
        <f t="shared" si="1"/>
        <v>2.0104331078137232</v>
      </c>
    </row>
    <row r="24" spans="1:6" ht="33.75" x14ac:dyDescent="0.25">
      <c r="A24" s="920"/>
      <c r="B24" s="195" t="s">
        <v>1353</v>
      </c>
      <c r="C24" s="192">
        <f>+'[2]X U.E CON RESUMEN.1'!E183</f>
        <v>18374734</v>
      </c>
      <c r="D24" s="241">
        <f>+'[2]X U.E CON RESUMEN.1'!F183</f>
        <v>10315297.310000001</v>
      </c>
      <c r="E24" s="242">
        <f t="shared" si="0"/>
        <v>56.138485106777601</v>
      </c>
      <c r="F24" s="243">
        <f t="shared" si="1"/>
        <v>1.8342860755233441</v>
      </c>
    </row>
    <row r="25" spans="1:6" ht="33.75" x14ac:dyDescent="0.25">
      <c r="A25" s="920"/>
      <c r="B25" s="195" t="s">
        <v>1350</v>
      </c>
      <c r="C25" s="192">
        <f>+'[2]X U.E CON RESUMEN.1'!E185</f>
        <v>27694627</v>
      </c>
      <c r="D25" s="241">
        <f>+'[2]X U.E CON RESUMEN.1'!F185</f>
        <v>14880518.66</v>
      </c>
      <c r="E25" s="242">
        <f t="shared" si="0"/>
        <v>53.730706176327992</v>
      </c>
      <c r="F25" s="243">
        <f t="shared" si="1"/>
        <v>2.6460825465633904</v>
      </c>
    </row>
    <row r="26" spans="1:6" ht="33.75" x14ac:dyDescent="0.25">
      <c r="A26" s="920"/>
      <c r="B26" s="195" t="s">
        <v>1354</v>
      </c>
      <c r="C26" s="192">
        <f>+'[2]X U.E CON RESUMEN.1'!E187</f>
        <v>11234702</v>
      </c>
      <c r="D26" s="241">
        <f>+'[2]X U.E CON RESUMEN.1'!F187</f>
        <v>6315590.1100000003</v>
      </c>
      <c r="E26" s="242">
        <f t="shared" si="0"/>
        <v>56.21502119059322</v>
      </c>
      <c r="F26" s="243">
        <f t="shared" si="1"/>
        <v>1.1230504220421684</v>
      </c>
    </row>
    <row r="27" spans="1:6" ht="33.75" x14ac:dyDescent="0.25">
      <c r="A27" s="921"/>
      <c r="B27" s="197" t="s">
        <v>1355</v>
      </c>
      <c r="C27" s="192">
        <f>+'[2]X U.E CON RESUMEN.1'!E161</f>
        <v>29477268</v>
      </c>
      <c r="D27" s="241">
        <f>+'[2]X U.E CON RESUMEN.1'!F161</f>
        <v>12754822.060000001</v>
      </c>
      <c r="E27" s="242">
        <f t="shared" si="0"/>
        <v>43.270027805833294</v>
      </c>
      <c r="F27" s="243">
        <f t="shared" si="1"/>
        <v>2.2680870746939212</v>
      </c>
    </row>
    <row r="28" spans="1:6" x14ac:dyDescent="0.25">
      <c r="A28" s="198"/>
      <c r="B28" s="199" t="s">
        <v>1301</v>
      </c>
      <c r="C28" s="200">
        <f>SUM(C29:C41)</f>
        <v>289355590</v>
      </c>
      <c r="D28" s="245">
        <f>SUM(D29:D41)</f>
        <v>119662567.61000001</v>
      </c>
      <c r="E28" s="246">
        <f t="shared" si="0"/>
        <v>41.354849101066279</v>
      </c>
      <c r="F28" s="247">
        <f t="shared" si="1"/>
        <v>21.278628713455255</v>
      </c>
    </row>
    <row r="29" spans="1:6" ht="22.5" x14ac:dyDescent="0.25">
      <c r="A29" s="922" t="s">
        <v>1307</v>
      </c>
      <c r="B29" s="196" t="s">
        <v>1308</v>
      </c>
      <c r="C29" s="201">
        <f>+'[2]X U.E CON RESUMEN.1'!E70</f>
        <v>201411</v>
      </c>
      <c r="D29" s="248">
        <f>+'[2]X U.E CON RESUMEN.1'!F70</f>
        <v>85597.55</v>
      </c>
      <c r="E29" s="242">
        <f t="shared" si="0"/>
        <v>42.498944943424142</v>
      </c>
      <c r="F29" s="243">
        <f t="shared" si="1"/>
        <v>1.5221121538756037E-2</v>
      </c>
    </row>
    <row r="30" spans="1:6" ht="22.5" x14ac:dyDescent="0.25">
      <c r="A30" s="923"/>
      <c r="B30" s="191" t="s">
        <v>1349</v>
      </c>
      <c r="C30" s="202">
        <f>+'[2]X U.E CON RESUMEN.1'!E100</f>
        <v>90000</v>
      </c>
      <c r="D30" s="249">
        <f>+'[2]X U.E CON RESUMEN.1'!F100</f>
        <v>63450</v>
      </c>
      <c r="E30" s="242">
        <f t="shared" si="0"/>
        <v>70.5</v>
      </c>
      <c r="F30" s="243">
        <f t="shared" si="1"/>
        <v>1.1282801454411611E-2</v>
      </c>
    </row>
    <row r="31" spans="1:6" ht="17.25" customHeight="1" x14ac:dyDescent="0.25">
      <c r="A31" s="923"/>
      <c r="B31" s="195" t="s">
        <v>1305</v>
      </c>
      <c r="C31" s="202">
        <f>+'[2]X U.E CON RESUMEN.1'!E116</f>
        <v>38033</v>
      </c>
      <c r="D31" s="249">
        <f>+'[2]X U.E CON RESUMEN.1'!F116</f>
        <v>0</v>
      </c>
      <c r="E31" s="242">
        <f t="shared" si="0"/>
        <v>0</v>
      </c>
      <c r="F31" s="243">
        <f t="shared" si="1"/>
        <v>0</v>
      </c>
    </row>
    <row r="32" spans="1:6" x14ac:dyDescent="0.25">
      <c r="A32" s="923"/>
      <c r="B32" s="195" t="s">
        <v>1304</v>
      </c>
      <c r="C32" s="202">
        <f>+'[2]X U.E CON RESUMEN.1'!E126</f>
        <v>745200</v>
      </c>
      <c r="D32" s="241">
        <f>+'[2]X U.E CON RESUMEN.1'!F126</f>
        <v>315000</v>
      </c>
      <c r="E32" s="242">
        <f t="shared" si="0"/>
        <v>42.270531400966185</v>
      </c>
      <c r="F32" s="243"/>
    </row>
    <row r="33" spans="1:6" ht="22.5" x14ac:dyDescent="0.25">
      <c r="A33" s="923"/>
      <c r="B33" s="203" t="s">
        <v>1309</v>
      </c>
      <c r="C33" s="202">
        <f>+'[2]X U.E CON RESUMEN.1'!E145</f>
        <v>22220543</v>
      </c>
      <c r="D33" s="249">
        <f>+'[2]X U.E CON RESUMEN.1'!F145</f>
        <v>5467436.0299999993</v>
      </c>
      <c r="E33" s="242">
        <f t="shared" si="0"/>
        <v>24.605321436114316</v>
      </c>
      <c r="F33" s="243">
        <f t="shared" ref="F33:F40" si="2">+D33/$D$136*100</f>
        <v>0.9722300266538445</v>
      </c>
    </row>
    <row r="34" spans="1:6" x14ac:dyDescent="0.25">
      <c r="A34" s="923"/>
      <c r="B34" s="195" t="s">
        <v>1306</v>
      </c>
      <c r="C34" s="202">
        <f>+'[2]X U.E CON RESUMEN.1'!E137</f>
        <v>240773</v>
      </c>
      <c r="D34" s="249">
        <f>+'[2]X U.E CON RESUMEN.1'!F137</f>
        <v>13768.359999999999</v>
      </c>
      <c r="E34" s="242">
        <f t="shared" si="0"/>
        <v>5.7183986576567962</v>
      </c>
      <c r="F34" s="243">
        <f t="shared" si="2"/>
        <v>2.4483163472476381E-3</v>
      </c>
    </row>
    <row r="35" spans="1:6" ht="33.75" x14ac:dyDescent="0.25">
      <c r="A35" s="923"/>
      <c r="B35" s="195" t="s">
        <v>1365</v>
      </c>
      <c r="C35" s="202">
        <f>+'[2]X U.E CON RESUMEN.1'!E189</f>
        <v>84459616</v>
      </c>
      <c r="D35" s="249">
        <f>+'[2]X U.E CON RESUMEN.1'!F189</f>
        <v>32971548.559999999</v>
      </c>
      <c r="E35" s="242">
        <f t="shared" si="0"/>
        <v>39.038241140002341</v>
      </c>
      <c r="F35" s="243">
        <f t="shared" si="2"/>
        <v>5.8630643979034049</v>
      </c>
    </row>
    <row r="36" spans="1:6" ht="45" x14ac:dyDescent="0.25">
      <c r="A36" s="923"/>
      <c r="B36" s="195" t="s">
        <v>1366</v>
      </c>
      <c r="C36" s="202">
        <f>+'[2]X U.E CON RESUMEN.1'!E190</f>
        <v>42769556</v>
      </c>
      <c r="D36" s="249">
        <f>+'[2]X U.E CON RESUMEN.1'!F190</f>
        <v>19852177.120000001</v>
      </c>
      <c r="E36" s="242">
        <f t="shared" si="0"/>
        <v>46.416607925506639</v>
      </c>
      <c r="F36" s="243">
        <f t="shared" si="2"/>
        <v>3.5301524489010703</v>
      </c>
    </row>
    <row r="37" spans="1:6" ht="45" x14ac:dyDescent="0.25">
      <c r="A37" s="923"/>
      <c r="B37" s="195" t="s">
        <v>1367</v>
      </c>
      <c r="C37" s="202">
        <f>+'[2]X U.E CON RESUMEN.1'!E193</f>
        <v>29458084</v>
      </c>
      <c r="D37" s="249">
        <f>+'[2]X U.E CON RESUMEN.1'!F193</f>
        <v>13519626.93</v>
      </c>
      <c r="E37" s="242">
        <f t="shared" si="0"/>
        <v>45.894454405113379</v>
      </c>
      <c r="F37" s="243">
        <f t="shared" si="2"/>
        <v>2.4040861527014403</v>
      </c>
    </row>
    <row r="38" spans="1:6" ht="45" x14ac:dyDescent="0.25">
      <c r="A38" s="923"/>
      <c r="B38" s="195" t="s">
        <v>1368</v>
      </c>
      <c r="C38" s="202">
        <f>+'[2]X U.E CON RESUMEN.1'!E195</f>
        <v>47664380</v>
      </c>
      <c r="D38" s="249">
        <f>+'[2]X U.E CON RESUMEN.1'!F195</f>
        <v>19140814.579999998</v>
      </c>
      <c r="E38" s="242">
        <f t="shared" si="0"/>
        <v>40.157481498762806</v>
      </c>
      <c r="F38" s="243">
        <f t="shared" si="2"/>
        <v>3.4036565891544046</v>
      </c>
    </row>
    <row r="39" spans="1:6" ht="45" x14ac:dyDescent="0.25">
      <c r="A39" s="923"/>
      <c r="B39" s="195" t="s">
        <v>1369</v>
      </c>
      <c r="C39" s="202">
        <f>+'[2]X U.E CON RESUMEN.1'!E197</f>
        <v>43167078</v>
      </c>
      <c r="D39" s="249">
        <f>+'[2]X U.E CON RESUMEN.1'!F197</f>
        <v>20740808.969999999</v>
      </c>
      <c r="E39" s="242">
        <f t="shared" si="0"/>
        <v>48.04774826315554</v>
      </c>
      <c r="F39" s="243">
        <f t="shared" si="2"/>
        <v>3.6881706794702818</v>
      </c>
    </row>
    <row r="40" spans="1:6" ht="45" x14ac:dyDescent="0.25">
      <c r="A40" s="924"/>
      <c r="B40" s="197" t="s">
        <v>1370</v>
      </c>
      <c r="C40" s="202">
        <f>+'[2]X U.E CON RESUMEN.1'!E199</f>
        <v>12386156</v>
      </c>
      <c r="D40" s="249">
        <f>+'[2]X U.E CON RESUMEN.1'!F199</f>
        <v>5805926.4199999999</v>
      </c>
      <c r="E40" s="242">
        <f t="shared" si="0"/>
        <v>46.87432016842029</v>
      </c>
      <c r="F40" s="243">
        <f t="shared" si="2"/>
        <v>1.0324210410682868</v>
      </c>
    </row>
    <row r="41" spans="1:6" ht="45" x14ac:dyDescent="0.25">
      <c r="A41" s="204"/>
      <c r="B41" s="197" t="s">
        <v>1371</v>
      </c>
      <c r="C41" s="202">
        <f>+'[2]X U.E CON RESUMEN.1'!E201</f>
        <v>5914760</v>
      </c>
      <c r="D41" s="249">
        <f>+'[2]X U.E CON RESUMEN.1'!F201</f>
        <v>1686413.09</v>
      </c>
      <c r="E41" s="242">
        <f t="shared" si="0"/>
        <v>28.511944525221651</v>
      </c>
      <c r="F41" s="243"/>
    </row>
    <row r="42" spans="1:6" x14ac:dyDescent="0.25">
      <c r="A42" s="205"/>
      <c r="B42" s="199" t="s">
        <v>1301</v>
      </c>
      <c r="C42" s="206">
        <f>SUM(C43:C46)</f>
        <v>21355110</v>
      </c>
      <c r="D42" s="250">
        <f>SUM(D43:D46)</f>
        <v>10438745.85</v>
      </c>
      <c r="E42" s="246">
        <f t="shared" si="0"/>
        <v>48.881723624930991</v>
      </c>
      <c r="F42" s="247">
        <f t="shared" ref="F42:F56" si="3">+D42/$D$136*100</f>
        <v>1.8562379331538716</v>
      </c>
    </row>
    <row r="43" spans="1:6" ht="22.5" x14ac:dyDescent="0.25">
      <c r="A43" s="925" t="s">
        <v>1310</v>
      </c>
      <c r="B43" s="191" t="s">
        <v>1349</v>
      </c>
      <c r="C43" s="192">
        <f>+'[2]X U.E CON RESUMEN.1'!E101</f>
        <v>13584</v>
      </c>
      <c r="D43" s="249">
        <f>+'[2]X U.E CON RESUMEN.1'!F101</f>
        <v>7558.05</v>
      </c>
      <c r="E43" s="242">
        <f t="shared" si="0"/>
        <v>55.639355123674918</v>
      </c>
      <c r="F43" s="243">
        <f t="shared" si="3"/>
        <v>1.3439870375494985E-3</v>
      </c>
    </row>
    <row r="44" spans="1:6" x14ac:dyDescent="0.25">
      <c r="A44" s="926"/>
      <c r="B44" s="195" t="s">
        <v>1304</v>
      </c>
      <c r="C44" s="192">
        <f>+'[2]X U.E CON RESUMEN.1'!E127</f>
        <v>12000</v>
      </c>
      <c r="D44" s="249">
        <f>+'[2]X U.E CON RESUMEN.1'!F127</f>
        <v>3000</v>
      </c>
      <c r="E44" s="242">
        <f t="shared" si="0"/>
        <v>25</v>
      </c>
      <c r="F44" s="243">
        <f t="shared" si="3"/>
        <v>5.3346578980669552E-4</v>
      </c>
    </row>
    <row r="45" spans="1:6" ht="22.5" x14ac:dyDescent="0.25">
      <c r="A45" s="926"/>
      <c r="B45" s="203" t="s">
        <v>1309</v>
      </c>
      <c r="C45" s="192">
        <f>+'[2]X U.E CON RESUMEN.1'!E146</f>
        <v>20950224</v>
      </c>
      <c r="D45" s="249">
        <f>+'[2]X U.E CON RESUMEN.1'!F146</f>
        <v>10242408.579999998</v>
      </c>
      <c r="E45" s="242">
        <f t="shared" si="0"/>
        <v>48.889255694831704</v>
      </c>
      <c r="F45" s="243">
        <f t="shared" si="3"/>
        <v>1.8213248608841912</v>
      </c>
    </row>
    <row r="46" spans="1:6" ht="33.75" x14ac:dyDescent="0.25">
      <c r="A46" s="927"/>
      <c r="B46" s="197" t="s">
        <v>1372</v>
      </c>
      <c r="C46" s="192">
        <f>+'[2]X U.E CON RESUMEN.1'!E159</f>
        <v>379302</v>
      </c>
      <c r="D46" s="249">
        <f>+'[2]X U.E CON RESUMEN.1'!F159</f>
        <v>185779.22</v>
      </c>
      <c r="E46" s="242">
        <f t="shared" si="0"/>
        <v>48.97923554318195</v>
      </c>
      <c r="F46" s="243">
        <f t="shared" si="3"/>
        <v>3.303561944232395E-2</v>
      </c>
    </row>
    <row r="47" spans="1:6" x14ac:dyDescent="0.25">
      <c r="A47" s="198"/>
      <c r="B47" s="199" t="s">
        <v>1301</v>
      </c>
      <c r="C47" s="207">
        <f>SUM(C48:C49)</f>
        <v>901015</v>
      </c>
      <c r="D47" s="251">
        <f>SUM(D48:D49)</f>
        <v>462578.18000000005</v>
      </c>
      <c r="E47" s="246">
        <f t="shared" si="0"/>
        <v>51.339675810058658</v>
      </c>
      <c r="F47" s="247">
        <f t="shared" si="3"/>
        <v>8.2256544713681268E-2</v>
      </c>
    </row>
    <row r="48" spans="1:6" ht="33.75" x14ac:dyDescent="0.25">
      <c r="A48" s="928" t="s">
        <v>1311</v>
      </c>
      <c r="B48" s="191" t="s">
        <v>1373</v>
      </c>
      <c r="C48" s="192">
        <f>+'[2]X U.E CON RESUMEN.1'!E74</f>
        <v>109604</v>
      </c>
      <c r="D48" s="252">
        <f>+'[2]X U.E CON RESUMEN.1'!F74</f>
        <v>57583.839999999997</v>
      </c>
      <c r="E48" s="242">
        <f t="shared" si="0"/>
        <v>52.538082551731691</v>
      </c>
      <c r="F48" s="243">
        <f t="shared" si="3"/>
        <v>1.0239669561900795E-2</v>
      </c>
    </row>
    <row r="49" spans="1:6" ht="50.25" customHeight="1" x14ac:dyDescent="0.25">
      <c r="A49" s="929"/>
      <c r="B49" s="197" t="s">
        <v>1374</v>
      </c>
      <c r="C49" s="208">
        <f>+'[2]X U.E CON RESUMEN.1'!E76</f>
        <v>791411</v>
      </c>
      <c r="D49" s="253">
        <f>+'[2]X U.E CON RESUMEN.1'!F76</f>
        <v>404994.34</v>
      </c>
      <c r="E49" s="242">
        <f t="shared" si="0"/>
        <v>51.17370620322437</v>
      </c>
      <c r="F49" s="243">
        <f t="shared" si="3"/>
        <v>7.2016875151780471E-2</v>
      </c>
    </row>
    <row r="50" spans="1:6" x14ac:dyDescent="0.25">
      <c r="A50" s="209"/>
      <c r="B50" s="199" t="s">
        <v>1301</v>
      </c>
      <c r="C50" s="210">
        <f>+C51</f>
        <v>2016571</v>
      </c>
      <c r="D50" s="254">
        <f>+D51</f>
        <v>529540.72</v>
      </c>
      <c r="E50" s="246">
        <f t="shared" si="0"/>
        <v>26.259463217511307</v>
      </c>
      <c r="F50" s="247">
        <f t="shared" si="3"/>
        <v>9.4163952809868737E-2</v>
      </c>
    </row>
    <row r="51" spans="1:6" ht="36.75" customHeight="1" x14ac:dyDescent="0.25">
      <c r="A51" s="211" t="s">
        <v>1312</v>
      </c>
      <c r="B51" s="197" t="s">
        <v>1375</v>
      </c>
      <c r="C51" s="192">
        <f>+'[2]X U.E CON RESUMEN.1'!E80</f>
        <v>2016571</v>
      </c>
      <c r="D51" s="252">
        <f>+'[2]X U.E CON RESUMEN.1'!F80</f>
        <v>529540.72</v>
      </c>
      <c r="E51" s="242">
        <f t="shared" si="0"/>
        <v>26.259463217511307</v>
      </c>
      <c r="F51" s="243">
        <f t="shared" si="3"/>
        <v>9.4163952809868737E-2</v>
      </c>
    </row>
    <row r="52" spans="1:6" x14ac:dyDescent="0.25">
      <c r="A52" s="212"/>
      <c r="B52" s="199" t="s">
        <v>1301</v>
      </c>
      <c r="C52" s="213">
        <f>SUM(C53:C58)</f>
        <v>7404006</v>
      </c>
      <c r="D52" s="255">
        <f>SUM(D53:D58)</f>
        <v>2841576.4099999997</v>
      </c>
      <c r="E52" s="246">
        <f t="shared" si="0"/>
        <v>38.378904744269512</v>
      </c>
      <c r="F52" s="247">
        <f t="shared" si="3"/>
        <v>0.5052946012855748</v>
      </c>
    </row>
    <row r="53" spans="1:6" x14ac:dyDescent="0.25">
      <c r="A53" s="914" t="s">
        <v>1313</v>
      </c>
      <c r="B53" s="214" t="s">
        <v>1314</v>
      </c>
      <c r="C53" s="215">
        <f>+'[2]X U.E CON RESUMEN.1'!E47</f>
        <v>2517237</v>
      </c>
      <c r="D53" s="244">
        <f>+'[2]X U.E CON RESUMEN.1'!F47</f>
        <v>1121520.1299999999</v>
      </c>
      <c r="E53" s="242">
        <f t="shared" si="0"/>
        <v>44.553616922045876</v>
      </c>
      <c r="F53" s="243">
        <f t="shared" si="3"/>
        <v>0.19943087397818593</v>
      </c>
    </row>
    <row r="54" spans="1:6" ht="45" x14ac:dyDescent="0.25">
      <c r="A54" s="915"/>
      <c r="B54" s="196" t="s">
        <v>1376</v>
      </c>
      <c r="C54" s="202">
        <f>+'[2]X U.E CON RESUMEN.1'!E55</f>
        <v>80122</v>
      </c>
      <c r="D54" s="241">
        <f>+'[2]X U.E CON RESUMEN.1'!F55</f>
        <v>15866.26</v>
      </c>
      <c r="E54" s="242">
        <f t="shared" si="0"/>
        <v>19.802625995357083</v>
      </c>
      <c r="F54" s="243">
        <f t="shared" si="3"/>
        <v>2.8213689740594606E-3</v>
      </c>
    </row>
    <row r="55" spans="1:6" ht="33.75" x14ac:dyDescent="0.25">
      <c r="A55" s="915"/>
      <c r="B55" s="217" t="s">
        <v>1377</v>
      </c>
      <c r="C55" s="202">
        <f>+'[2]X U.E CON RESUMEN.1'!E61</f>
        <v>890304</v>
      </c>
      <c r="D55" s="241">
        <f>+'[2]X U.E CON RESUMEN.1'!F61</f>
        <v>348578.6</v>
      </c>
      <c r="E55" s="242">
        <f t="shared" si="0"/>
        <v>39.152761304004024</v>
      </c>
      <c r="F55" s="243">
        <f t="shared" si="3"/>
        <v>6.1984919386237396E-2</v>
      </c>
    </row>
    <row r="56" spans="1:6" ht="33.75" x14ac:dyDescent="0.25">
      <c r="A56" s="915"/>
      <c r="B56" s="218" t="s">
        <v>1378</v>
      </c>
      <c r="C56" s="202">
        <f>+'[2]X U.E CON RESUMEN.1'!E152</f>
        <v>2611123</v>
      </c>
      <c r="D56" s="241">
        <f>+'[2]X U.E CON RESUMEN.1'!F152</f>
        <v>1153774.6200000001</v>
      </c>
      <c r="E56" s="242">
        <f t="shared" si="0"/>
        <v>44.186911914911711</v>
      </c>
      <c r="F56" s="243">
        <f t="shared" si="3"/>
        <v>0.20516642963907336</v>
      </c>
    </row>
    <row r="57" spans="1:6" x14ac:dyDescent="0.25">
      <c r="A57" s="915"/>
      <c r="B57" s="191" t="s">
        <v>1315</v>
      </c>
      <c r="C57" s="202">
        <f>+'[2]X U.E CON RESUMEN.1'!E128</f>
        <v>271577</v>
      </c>
      <c r="D57" s="241">
        <f>+'[2]X U.E CON RESUMEN.1'!F128</f>
        <v>201836.79999999999</v>
      </c>
      <c r="E57" s="242">
        <f t="shared" si="0"/>
        <v>74.320284854755741</v>
      </c>
      <c r="F57" s="243"/>
    </row>
    <row r="58" spans="1:6" x14ac:dyDescent="0.25">
      <c r="A58" s="916"/>
      <c r="B58" s="191" t="s">
        <v>1316</v>
      </c>
      <c r="C58" s="202">
        <f>+'[2]X U.E CON RESUMEN.1'!E138</f>
        <v>1033643</v>
      </c>
      <c r="D58" s="241">
        <f>+'[2]X U.E CON RESUMEN.1'!F138</f>
        <v>0</v>
      </c>
      <c r="E58" s="242">
        <f t="shared" si="0"/>
        <v>0</v>
      </c>
      <c r="F58" s="243"/>
    </row>
    <row r="59" spans="1:6" x14ac:dyDescent="0.25">
      <c r="A59" s="198"/>
      <c r="B59" s="199" t="s">
        <v>1301</v>
      </c>
      <c r="C59" s="213">
        <f>SUM(C60:C62)</f>
        <v>1404897</v>
      </c>
      <c r="D59" s="255">
        <f>SUM(D60:D62)</f>
        <v>776868.96</v>
      </c>
      <c r="E59" s="246">
        <f t="shared" si="0"/>
        <v>55.297218230233248</v>
      </c>
      <c r="F59" s="247">
        <f>+D59/$D$136*100</f>
        <v>0.13814433777423538</v>
      </c>
    </row>
    <row r="60" spans="1:6" x14ac:dyDescent="0.25">
      <c r="A60" s="930" t="s">
        <v>1317</v>
      </c>
      <c r="B60" s="219" t="s">
        <v>1318</v>
      </c>
      <c r="C60" s="202">
        <f>+'[2]X U.E CON RESUMEN.1'!E48</f>
        <v>87870</v>
      </c>
      <c r="D60" s="241">
        <f>+'[2]X U.E CON RESUMEN.1'!F48</f>
        <v>0</v>
      </c>
      <c r="E60" s="242">
        <f t="shared" si="0"/>
        <v>0</v>
      </c>
      <c r="F60" s="247"/>
    </row>
    <row r="61" spans="1:6" ht="33.75" x14ac:dyDescent="0.25">
      <c r="A61" s="931"/>
      <c r="B61" s="196" t="s">
        <v>1379</v>
      </c>
      <c r="C61" s="202">
        <f>+'[2]X U.E CON RESUMEN.1'!E57</f>
        <v>811445</v>
      </c>
      <c r="D61" s="241">
        <f>+'[2]X U.E CON RESUMEN.1'!F57</f>
        <v>414534.77</v>
      </c>
      <c r="E61" s="242">
        <f t="shared" si="0"/>
        <v>51.085997202521426</v>
      </c>
      <c r="F61" s="243">
        <f t="shared" ref="F61:F87" si="4">+D61/$D$136*100</f>
        <v>7.3713372826795631E-2</v>
      </c>
    </row>
    <row r="62" spans="1:6" x14ac:dyDescent="0.25">
      <c r="A62" s="932"/>
      <c r="B62" s="195" t="s">
        <v>1315</v>
      </c>
      <c r="C62" s="202">
        <f>+'[2]X U.E CON RESUMEN.1'!E129</f>
        <v>505582</v>
      </c>
      <c r="D62" s="241">
        <f>+'[2]X U.E CON RESUMEN.1'!F129</f>
        <v>362334.19</v>
      </c>
      <c r="E62" s="242">
        <f t="shared" si="0"/>
        <v>71.666750398550576</v>
      </c>
      <c r="F62" s="243">
        <f t="shared" si="4"/>
        <v>6.4430964947439773E-2</v>
      </c>
    </row>
    <row r="63" spans="1:6" x14ac:dyDescent="0.25">
      <c r="A63" s="220"/>
      <c r="B63" s="199" t="s">
        <v>1301</v>
      </c>
      <c r="C63" s="207">
        <f>SUM(C64:C68)</f>
        <v>44911627</v>
      </c>
      <c r="D63" s="255">
        <f>SUM(D64:D68)</f>
        <v>14440010.35</v>
      </c>
      <c r="E63" s="246">
        <f t="shared" si="0"/>
        <v>32.152053520572743</v>
      </c>
      <c r="F63" s="247">
        <f t="shared" si="4"/>
        <v>2.5677505087265362</v>
      </c>
    </row>
    <row r="64" spans="1:6" x14ac:dyDescent="0.25">
      <c r="A64" s="933" t="s">
        <v>1319</v>
      </c>
      <c r="B64" s="195" t="s">
        <v>1304</v>
      </c>
      <c r="C64" s="192">
        <f>+'[2]X U.E CON RESUMEN.1'!E130</f>
        <v>2959870</v>
      </c>
      <c r="D64" s="241">
        <f>+'[2]X U.E CON RESUMEN.1'!F130</f>
        <v>1788861.56</v>
      </c>
      <c r="E64" s="242">
        <f t="shared" si="0"/>
        <v>60.437166497177245</v>
      </c>
      <c r="F64" s="243">
        <f t="shared" si="4"/>
        <v>0.31809881498674586</v>
      </c>
    </row>
    <row r="65" spans="1:6" ht="22.5" x14ac:dyDescent="0.25">
      <c r="A65" s="934"/>
      <c r="B65" s="191" t="s">
        <v>1349</v>
      </c>
      <c r="C65" s="192">
        <f>+'[2]X U.E CON RESUMEN.1'!E102</f>
        <v>18043523</v>
      </c>
      <c r="D65" s="241">
        <f>+'[2]X U.E CON RESUMEN.1'!F102</f>
        <v>5847850.21</v>
      </c>
      <c r="E65" s="242">
        <f t="shared" si="0"/>
        <v>32.409691887776013</v>
      </c>
      <c r="F65" s="243">
        <f t="shared" si="4"/>
        <v>1.0398760103163001</v>
      </c>
    </row>
    <row r="66" spans="1:6" x14ac:dyDescent="0.25">
      <c r="A66" s="934"/>
      <c r="B66" s="195" t="s">
        <v>1305</v>
      </c>
      <c r="C66" s="192">
        <f>+'[2]X U.E CON RESUMEN.1'!E117</f>
        <v>2756681</v>
      </c>
      <c r="D66" s="241">
        <f>+'[2]X U.E CON RESUMEN.1'!F117</f>
        <v>1088986.1499999999</v>
      </c>
      <c r="E66" s="242">
        <f t="shared" si="0"/>
        <v>39.503524346850433</v>
      </c>
      <c r="F66" s="243">
        <f t="shared" si="4"/>
        <v>0.19364561886610085</v>
      </c>
    </row>
    <row r="67" spans="1:6" x14ac:dyDescent="0.25">
      <c r="A67" s="934"/>
      <c r="B67" s="195" t="s">
        <v>1306</v>
      </c>
      <c r="C67" s="192">
        <f>+'[2]X U.E CON RESUMEN.1'!E139</f>
        <v>10000</v>
      </c>
      <c r="D67" s="241">
        <f>+'[2]X U.E CON RESUMEN.1'!F139</f>
        <v>0</v>
      </c>
      <c r="E67" s="242">
        <f t="shared" si="0"/>
        <v>0</v>
      </c>
      <c r="F67" s="243">
        <f t="shared" si="4"/>
        <v>0</v>
      </c>
    </row>
    <row r="68" spans="1:6" ht="33.75" x14ac:dyDescent="0.25">
      <c r="A68" s="935"/>
      <c r="B68" s="195" t="s">
        <v>1380</v>
      </c>
      <c r="C68" s="192">
        <f>+'[2]X U.E CON RESUMEN.1'!E158</f>
        <v>21141553</v>
      </c>
      <c r="D68" s="241">
        <f>+'[2]X U.E CON RESUMEN.1'!F158</f>
        <v>5714312.4299999997</v>
      </c>
      <c r="E68" s="242">
        <f t="shared" si="0"/>
        <v>27.028820588534813</v>
      </c>
      <c r="F68" s="243">
        <f t="shared" si="4"/>
        <v>1.0161300645573892</v>
      </c>
    </row>
    <row r="69" spans="1:6" x14ac:dyDescent="0.25">
      <c r="A69" s="198"/>
      <c r="B69" s="199" t="s">
        <v>1301</v>
      </c>
      <c r="C69" s="207">
        <f>SUM(C70:C74)</f>
        <v>27651906</v>
      </c>
      <c r="D69" s="255">
        <f>SUM(D70:D74)</f>
        <v>9669378.3599999975</v>
      </c>
      <c r="E69" s="246">
        <f t="shared" ref="E69:E88" si="5">+D69/C69*100</f>
        <v>34.968216512814699</v>
      </c>
      <c r="F69" s="247">
        <f t="shared" si="4"/>
        <v>1.7194275212523897</v>
      </c>
    </row>
    <row r="70" spans="1:6" x14ac:dyDescent="0.25">
      <c r="A70" s="936" t="s">
        <v>1320</v>
      </c>
      <c r="B70" s="195" t="s">
        <v>1306</v>
      </c>
      <c r="C70" s="192">
        <f>+'[2]X U.E CON RESUMEN.1'!E140</f>
        <v>18624</v>
      </c>
      <c r="D70" s="241">
        <f>+'[2]X U.E CON RESUMEN.1'!F140</f>
        <v>0</v>
      </c>
      <c r="E70" s="242">
        <f t="shared" si="5"/>
        <v>0</v>
      </c>
      <c r="F70" s="243">
        <f t="shared" si="4"/>
        <v>0</v>
      </c>
    </row>
    <row r="71" spans="1:6" x14ac:dyDescent="0.25">
      <c r="A71" s="937"/>
      <c r="B71" s="195" t="s">
        <v>1305</v>
      </c>
      <c r="C71" s="192">
        <f>+'[2]X U.E CON RESUMEN.1'!E118</f>
        <v>41000</v>
      </c>
      <c r="D71" s="241">
        <f>+'[2]X U.E CON RESUMEN.1'!F118</f>
        <v>0</v>
      </c>
      <c r="E71" s="242">
        <f t="shared" si="5"/>
        <v>0</v>
      </c>
      <c r="F71" s="243">
        <f t="shared" si="4"/>
        <v>0</v>
      </c>
    </row>
    <row r="72" spans="1:6" x14ac:dyDescent="0.25">
      <c r="A72" s="937"/>
      <c r="B72" s="195" t="s">
        <v>1304</v>
      </c>
      <c r="C72" s="192">
        <f>+'[2]X U.E CON RESUMEN.1'!E131</f>
        <v>954620</v>
      </c>
      <c r="D72" s="241">
        <f>+'[2]X U.E CON RESUMEN.1'!F131</f>
        <v>0</v>
      </c>
      <c r="E72" s="242">
        <f t="shared" si="5"/>
        <v>0</v>
      </c>
      <c r="F72" s="243">
        <f t="shared" si="4"/>
        <v>0</v>
      </c>
    </row>
    <row r="73" spans="1:6" ht="22.5" x14ac:dyDescent="0.25">
      <c r="A73" s="937"/>
      <c r="B73" s="191" t="s">
        <v>1349</v>
      </c>
      <c r="C73" s="192">
        <f>+'[2]X U.E CON RESUMEN.1'!E103</f>
        <v>11107940</v>
      </c>
      <c r="D73" s="241">
        <f>+'[2]X U.E CON RESUMEN.1'!F103</f>
        <v>301328.34999999998</v>
      </c>
      <c r="E73" s="242">
        <f t="shared" si="5"/>
        <v>2.7127293629601885</v>
      </c>
      <c r="F73" s="243">
        <f t="shared" si="4"/>
        <v>5.3582788741299452E-2</v>
      </c>
    </row>
    <row r="74" spans="1:6" ht="22.5" x14ac:dyDescent="0.25">
      <c r="A74" s="937"/>
      <c r="B74" s="203" t="s">
        <v>1309</v>
      </c>
      <c r="C74" s="192">
        <f>+'[2]X U.E CON RESUMEN.1'!E147</f>
        <v>15529722</v>
      </c>
      <c r="D74" s="241">
        <f>+'[2]X U.E CON RESUMEN.1'!F147</f>
        <v>9368050.0099999979</v>
      </c>
      <c r="E74" s="242">
        <f>+D74/C74*100</f>
        <v>60.323359362131512</v>
      </c>
      <c r="F74" s="243">
        <f t="shared" si="4"/>
        <v>1.6658447325110903</v>
      </c>
    </row>
    <row r="75" spans="1:6" x14ac:dyDescent="0.25">
      <c r="A75" s="198"/>
      <c r="B75" s="199" t="s">
        <v>1301</v>
      </c>
      <c r="C75" s="213">
        <f>SUM(C76:C81)</f>
        <v>14322023</v>
      </c>
      <c r="D75" s="255">
        <f>SUM(D76:D81)</f>
        <v>1807712.9</v>
      </c>
      <c r="E75" s="246">
        <f t="shared" si="5"/>
        <v>12.621910326495076</v>
      </c>
      <c r="F75" s="247">
        <f t="shared" si="4"/>
        <v>0.32145099664741733</v>
      </c>
    </row>
    <row r="76" spans="1:6" ht="22.5" x14ac:dyDescent="0.25">
      <c r="A76" s="914" t="s">
        <v>1321</v>
      </c>
      <c r="B76" s="196" t="s">
        <v>1318</v>
      </c>
      <c r="C76" s="202">
        <f>+'[2]X U.E CON RESUMEN.1'!E49</f>
        <v>4696530</v>
      </c>
      <c r="D76" s="241">
        <f>+'[2]X U.E CON RESUMEN.1'!F49</f>
        <v>897267</v>
      </c>
      <c r="E76" s="242">
        <f t="shared" ref="E76:E81" si="6">+D76/C76*100</f>
        <v>19.104892335405076</v>
      </c>
      <c r="F76" s="243">
        <f t="shared" si="4"/>
        <v>0.15955374960749474</v>
      </c>
    </row>
    <row r="77" spans="1:6" ht="33.75" x14ac:dyDescent="0.25">
      <c r="A77" s="915"/>
      <c r="B77" s="196" t="s">
        <v>1381</v>
      </c>
      <c r="C77" s="202">
        <f>+'[2]X U.E CON RESUMEN.1'!E53</f>
        <v>26428</v>
      </c>
      <c r="D77" s="241">
        <f>+'[2]X U.E CON RESUMEN.1'!F53</f>
        <v>9729.75</v>
      </c>
      <c r="E77" s="242">
        <f t="shared" si="6"/>
        <v>36.816066293325264</v>
      </c>
      <c r="F77" s="243">
        <f t="shared" si="4"/>
        <v>1.7301629227905652E-3</v>
      </c>
    </row>
    <row r="78" spans="1:6" ht="33.75" x14ac:dyDescent="0.25">
      <c r="A78" s="915"/>
      <c r="B78" s="191" t="s">
        <v>1383</v>
      </c>
      <c r="C78" s="202">
        <f>+'[2]X U.E CON RESUMEN.1'!E104</f>
        <v>4948144</v>
      </c>
      <c r="D78" s="241">
        <f>+'[2]X U.E CON RESUMEN.1'!F104</f>
        <v>699488.11</v>
      </c>
      <c r="E78" s="242">
        <f t="shared" si="6"/>
        <v>14.136373355342933</v>
      </c>
      <c r="F78" s="243">
        <f t="shared" si="4"/>
        <v>0.12438432568718091</v>
      </c>
    </row>
    <row r="79" spans="1:6" x14ac:dyDescent="0.25">
      <c r="A79" s="915"/>
      <c r="B79" s="195" t="s">
        <v>1305</v>
      </c>
      <c r="C79" s="202">
        <f>+'[2]X U.E CON RESUMEN.1'!E119</f>
        <v>171740</v>
      </c>
      <c r="D79" s="241">
        <f>+'[2]X U.E CON RESUMEN.1'!F119</f>
        <v>180</v>
      </c>
      <c r="E79" s="242">
        <f t="shared" si="6"/>
        <v>0.10480959590078023</v>
      </c>
      <c r="F79" s="243">
        <f t="shared" si="4"/>
        <v>3.2007947388401738E-5</v>
      </c>
    </row>
    <row r="80" spans="1:6" x14ac:dyDescent="0.25">
      <c r="A80" s="915"/>
      <c r="B80" s="203" t="s">
        <v>1322</v>
      </c>
      <c r="C80" s="202">
        <f>+'[2]X U.E CON RESUMEN.1'!E148</f>
        <v>580</v>
      </c>
      <c r="D80" s="241">
        <f>+'[2]X U.E CON RESUMEN.1'!F148</f>
        <v>0</v>
      </c>
      <c r="E80" s="242">
        <f t="shared" si="6"/>
        <v>0</v>
      </c>
      <c r="F80" s="243">
        <f t="shared" si="4"/>
        <v>0</v>
      </c>
    </row>
    <row r="81" spans="1:6" ht="33.75" x14ac:dyDescent="0.25">
      <c r="A81" s="916"/>
      <c r="B81" s="196" t="s">
        <v>1382</v>
      </c>
      <c r="C81" s="202">
        <f>+'[2]X U.E CON RESUMEN.1'!E153</f>
        <v>4478601</v>
      </c>
      <c r="D81" s="241">
        <f>+'[2]X U.E CON RESUMEN.1'!F153</f>
        <v>201048.04</v>
      </c>
      <c r="E81" s="242">
        <f t="shared" si="6"/>
        <v>4.4890813001649397</v>
      </c>
      <c r="F81" s="243">
        <f t="shared" si="4"/>
        <v>3.575075048256271E-2</v>
      </c>
    </row>
    <row r="82" spans="1:6" x14ac:dyDescent="0.25">
      <c r="A82" s="221"/>
      <c r="B82" s="199" t="s">
        <v>1301</v>
      </c>
      <c r="C82" s="207">
        <f>SUM(C83:C84)</f>
        <v>8369889</v>
      </c>
      <c r="D82" s="251">
        <f>SUM(D83:D84)</f>
        <v>3908374.58</v>
      </c>
      <c r="E82" s="246">
        <f t="shared" si="5"/>
        <v>46.695656059477017</v>
      </c>
      <c r="F82" s="247">
        <f t="shared" si="4"/>
        <v>0.69499471072670405</v>
      </c>
    </row>
    <row r="83" spans="1:6" ht="33.75" x14ac:dyDescent="0.25">
      <c r="A83" s="938" t="s">
        <v>1323</v>
      </c>
      <c r="B83" s="191" t="s">
        <v>1324</v>
      </c>
      <c r="C83" s="192">
        <f>+'[2]X U.E CON RESUMEN.1'!E109</f>
        <v>5603969</v>
      </c>
      <c r="D83" s="252">
        <f>+'[2]X U.E CON RESUMEN.1'!F109</f>
        <v>1685801.24</v>
      </c>
      <c r="E83" s="242">
        <f t="shared" si="5"/>
        <v>30.082272760609492</v>
      </c>
      <c r="F83" s="243">
        <f t="shared" si="4"/>
        <v>0.29977242998456888</v>
      </c>
    </row>
    <row r="84" spans="1:6" ht="34.5" customHeight="1" x14ac:dyDescent="0.25">
      <c r="A84" s="939"/>
      <c r="B84" s="191" t="s">
        <v>1382</v>
      </c>
      <c r="C84" s="192">
        <f>+'[2]X U.E CON RESUMEN.1'!E154</f>
        <v>2765920</v>
      </c>
      <c r="D84" s="252">
        <f>+'[2]X U.E CON RESUMEN.1'!F154</f>
        <v>2222573.34</v>
      </c>
      <c r="E84" s="242">
        <f t="shared" si="5"/>
        <v>80.355662492046037</v>
      </c>
      <c r="F84" s="243">
        <f t="shared" si="4"/>
        <v>0.39522228074213506</v>
      </c>
    </row>
    <row r="85" spans="1:6" x14ac:dyDescent="0.25">
      <c r="A85" s="220"/>
      <c r="B85" s="199" t="s">
        <v>1301</v>
      </c>
      <c r="C85" s="207">
        <f>SUM(C86:C88)</f>
        <v>2797559</v>
      </c>
      <c r="D85" s="251">
        <f>SUM(D86:D88)</f>
        <v>642400.25</v>
      </c>
      <c r="E85" s="246">
        <f t="shared" si="5"/>
        <v>22.962884786344095</v>
      </c>
      <c r="F85" s="247">
        <f t="shared" si="4"/>
        <v>0.11423285224608955</v>
      </c>
    </row>
    <row r="86" spans="1:6" ht="33.75" x14ac:dyDescent="0.25">
      <c r="A86" s="930" t="s">
        <v>1325</v>
      </c>
      <c r="B86" s="217" t="s">
        <v>1384</v>
      </c>
      <c r="C86" s="192">
        <f>+'[2]X U.E CON RESUMEN.1'!E59</f>
        <v>914912</v>
      </c>
      <c r="D86" s="252">
        <f>+'[2]X U.E CON RESUMEN.1'!F59</f>
        <v>281334.12</v>
      </c>
      <c r="E86" s="242">
        <f t="shared" si="5"/>
        <v>30.749855723829178</v>
      </c>
      <c r="F86" s="243">
        <f t="shared" si="4"/>
        <v>5.0027376175123886E-2</v>
      </c>
    </row>
    <row r="87" spans="1:6" ht="45" x14ac:dyDescent="0.25">
      <c r="A87" s="931"/>
      <c r="B87" s="191" t="s">
        <v>1385</v>
      </c>
      <c r="C87" s="192">
        <f>+'[2]X U.E CON RESUMEN.1'!E110</f>
        <v>1495726</v>
      </c>
      <c r="D87" s="252">
        <f>+'[2]X U.E CON RESUMEN.1'!F110</f>
        <v>127508.11</v>
      </c>
      <c r="E87" s="242">
        <f t="shared" si="5"/>
        <v>8.524830751086764</v>
      </c>
      <c r="F87" s="243">
        <f t="shared" si="4"/>
        <v>2.2673738202636341E-2</v>
      </c>
    </row>
    <row r="88" spans="1:6" x14ac:dyDescent="0.25">
      <c r="A88" s="932"/>
      <c r="B88" s="195" t="s">
        <v>1305</v>
      </c>
      <c r="C88" s="192">
        <f>+'[2]X U.E CON RESUMEN.1'!E120</f>
        <v>386921</v>
      </c>
      <c r="D88" s="252">
        <f>+'[2]X U.E CON RESUMEN.1'!F120</f>
        <v>233558.02</v>
      </c>
      <c r="E88" s="242">
        <f t="shared" si="5"/>
        <v>60.363231770826594</v>
      </c>
      <c r="F88" s="243"/>
    </row>
    <row r="89" spans="1:6" x14ac:dyDescent="0.25">
      <c r="A89" s="220"/>
      <c r="B89" s="199" t="s">
        <v>1301</v>
      </c>
      <c r="C89" s="207">
        <f>+C90</f>
        <v>809017</v>
      </c>
      <c r="D89" s="251">
        <f>+D90</f>
        <v>401354.84</v>
      </c>
      <c r="E89" s="246">
        <f>+E90</f>
        <v>49.610186188918156</v>
      </c>
      <c r="F89" s="247">
        <f t="shared" ref="F89:F133" si="7">+D89/$D$136*100</f>
        <v>7.1369692237779975E-2</v>
      </c>
    </row>
    <row r="90" spans="1:6" ht="56.25" x14ac:dyDescent="0.25">
      <c r="A90" s="211" t="s">
        <v>1326</v>
      </c>
      <c r="B90" s="196" t="s">
        <v>1386</v>
      </c>
      <c r="C90" s="192">
        <f>+'[2]X U.E CON RESUMEN.1'!E93</f>
        <v>809017</v>
      </c>
      <c r="D90" s="252">
        <f>+'[2]X U.E CON RESUMEN.1'!F93</f>
        <v>401354.84</v>
      </c>
      <c r="E90" s="242">
        <f t="shared" ref="E90:E136" si="8">+D90/C90*100</f>
        <v>49.610186188918156</v>
      </c>
      <c r="F90" s="243">
        <f t="shared" si="7"/>
        <v>7.1369692237779975E-2</v>
      </c>
    </row>
    <row r="91" spans="1:6" x14ac:dyDescent="0.25">
      <c r="A91" s="212"/>
      <c r="B91" s="199" t="s">
        <v>1301</v>
      </c>
      <c r="C91" s="207">
        <f>SUM(C92:C118)</f>
        <v>84682625</v>
      </c>
      <c r="D91" s="255">
        <f>SUM(D92:D118)</f>
        <v>44024041.459999993</v>
      </c>
      <c r="E91" s="246">
        <f t="shared" si="8"/>
        <v>51.987100612433764</v>
      </c>
      <c r="F91" s="247">
        <f t="shared" si="7"/>
        <v>7.8284400159805356</v>
      </c>
    </row>
    <row r="92" spans="1:6" x14ac:dyDescent="0.25">
      <c r="A92" s="922" t="s">
        <v>1327</v>
      </c>
      <c r="B92" s="216" t="s">
        <v>1387</v>
      </c>
      <c r="C92" s="222">
        <f>+'[2]X U.E CON RESUMEN.1'!E7</f>
        <v>127728</v>
      </c>
      <c r="D92" s="256">
        <f>+'[2]X U.E CON RESUMEN.1'!F7</f>
        <v>60307.519999999997</v>
      </c>
      <c r="E92" s="242">
        <f t="shared" si="8"/>
        <v>47.2155831141175</v>
      </c>
      <c r="F92" s="243">
        <f t="shared" si="7"/>
        <v>1.0723999596027696E-2</v>
      </c>
    </row>
    <row r="93" spans="1:6" x14ac:dyDescent="0.25">
      <c r="A93" s="923"/>
      <c r="B93" s="216" t="s">
        <v>1388</v>
      </c>
      <c r="C93" s="222">
        <f>+'[2]X U.E CON RESUMEN.1'!E9</f>
        <v>39986</v>
      </c>
      <c r="D93" s="256">
        <f>+'[2]X U.E CON RESUMEN.1'!F9</f>
        <v>19912.939999999999</v>
      </c>
      <c r="E93" s="242">
        <f t="shared" si="8"/>
        <v>49.799779922973038</v>
      </c>
      <c r="F93" s="243">
        <f t="shared" si="7"/>
        <v>3.5409574214911132E-3</v>
      </c>
    </row>
    <row r="94" spans="1:6" x14ac:dyDescent="0.25">
      <c r="A94" s="923"/>
      <c r="B94" s="216" t="s">
        <v>1328</v>
      </c>
      <c r="C94" s="192">
        <f>+'[2]X U.E CON RESUMEN.1'!E11</f>
        <v>70009</v>
      </c>
      <c r="D94" s="249">
        <f>+'[2]X U.E CON RESUMEN.1'!F11</f>
        <v>28868.53</v>
      </c>
      <c r="E94" s="242">
        <f t="shared" si="8"/>
        <v>41.235455441443243</v>
      </c>
      <c r="F94" s="243">
        <f t="shared" si="7"/>
        <v>5.1334577190027611E-3</v>
      </c>
    </row>
    <row r="95" spans="1:6" ht="22.5" x14ac:dyDescent="0.25">
      <c r="A95" s="923"/>
      <c r="B95" s="223" t="s">
        <v>1389</v>
      </c>
      <c r="C95" s="192">
        <f>+'[2]X U.E CON RESUMEN.1'!E13</f>
        <v>11800</v>
      </c>
      <c r="D95" s="249">
        <f>+'[2]X U.E CON RESUMEN.1'!F13</f>
        <v>5769.09</v>
      </c>
      <c r="E95" s="242">
        <f t="shared" si="8"/>
        <v>48.890593220338985</v>
      </c>
      <c r="F95" s="243">
        <f t="shared" si="7"/>
        <v>1.0258707177719698E-3</v>
      </c>
    </row>
    <row r="96" spans="1:6" ht="22.5" x14ac:dyDescent="0.25">
      <c r="A96" s="923"/>
      <c r="B96" s="191" t="s">
        <v>1390</v>
      </c>
      <c r="C96" s="192">
        <f>+'[2]X U.E CON RESUMEN.1'!E15</f>
        <v>240138</v>
      </c>
      <c r="D96" s="249">
        <f>+'[2]X U.E CON RESUMEN.1'!F15</f>
        <v>92058.43</v>
      </c>
      <c r="E96" s="242">
        <f t="shared" si="8"/>
        <v>38.335636175865538</v>
      </c>
      <c r="F96" s="243">
        <f t="shared" si="7"/>
        <v>1.6370007689438131E-2</v>
      </c>
    </row>
    <row r="97" spans="1:6" ht="22.5" x14ac:dyDescent="0.25">
      <c r="A97" s="923"/>
      <c r="B97" s="191" t="s">
        <v>1391</v>
      </c>
      <c r="C97" s="192">
        <f>+'[2]X U.E CON RESUMEN.1'!E17</f>
        <v>164369</v>
      </c>
      <c r="D97" s="249">
        <f>+'[2]X U.E CON RESUMEN.1'!F17</f>
        <v>73258.2</v>
      </c>
      <c r="E97" s="242">
        <f t="shared" si="8"/>
        <v>44.569353101862269</v>
      </c>
      <c r="F97" s="243">
        <f t="shared" si="7"/>
        <v>1.302691450760562E-2</v>
      </c>
    </row>
    <row r="98" spans="1:6" x14ac:dyDescent="0.25">
      <c r="A98" s="923"/>
      <c r="B98" s="197" t="s">
        <v>1329</v>
      </c>
      <c r="C98" s="192">
        <f>+'[2]X U.E CON RESUMEN.1'!E19</f>
        <v>230943</v>
      </c>
      <c r="D98" s="249">
        <f>+'[2]X U.E CON RESUMEN.1'!F19</f>
        <v>126739.35</v>
      </c>
      <c r="E98" s="242">
        <f t="shared" si="8"/>
        <v>54.879061067016544</v>
      </c>
      <c r="F98" s="243">
        <f t="shared" si="7"/>
        <v>2.2537035815779073E-2</v>
      </c>
    </row>
    <row r="99" spans="1:6" x14ac:dyDescent="0.25">
      <c r="A99" s="923"/>
      <c r="B99" s="191" t="s">
        <v>1330</v>
      </c>
      <c r="C99" s="192">
        <f>+'[2]X U.E CON RESUMEN.1'!E25</f>
        <v>237634</v>
      </c>
      <c r="D99" s="249">
        <f>+'[2]X U.E CON RESUMEN.1'!F25</f>
        <v>114211.1</v>
      </c>
      <c r="E99" s="242">
        <f t="shared" si="8"/>
        <v>48.061767255527407</v>
      </c>
      <c r="F99" s="243">
        <f t="shared" si="7"/>
        <v>2.0309238222063829E-2</v>
      </c>
    </row>
    <row r="100" spans="1:6" ht="22.5" x14ac:dyDescent="0.25">
      <c r="A100" s="923"/>
      <c r="B100" s="191" t="s">
        <v>1331</v>
      </c>
      <c r="C100" s="192">
        <f>+'[2]X U.E CON RESUMEN.1'!E27</f>
        <v>179606</v>
      </c>
      <c r="D100" s="249">
        <f>+'[2]X U.E CON RESUMEN.1'!F27</f>
        <v>87617.46</v>
      </c>
      <c r="E100" s="242">
        <f t="shared" si="8"/>
        <v>48.783147556317715</v>
      </c>
      <c r="F100" s="243">
        <f t="shared" si="7"/>
        <v>1.5580305833252185E-2</v>
      </c>
    </row>
    <row r="101" spans="1:6" x14ac:dyDescent="0.25">
      <c r="A101" s="923"/>
      <c r="B101" s="191" t="s">
        <v>1332</v>
      </c>
      <c r="C101" s="192">
        <f>+'[2]X U.E CON RESUMEN.1'!E32</f>
        <v>17305531</v>
      </c>
      <c r="D101" s="249">
        <f>+'[2]X U.E CON RESUMEN.1'!F32</f>
        <v>13206778.779999999</v>
      </c>
      <c r="E101" s="242">
        <f t="shared" si="8"/>
        <v>76.315362874447473</v>
      </c>
      <c r="F101" s="243">
        <f t="shared" si="7"/>
        <v>2.3484548908916691</v>
      </c>
    </row>
    <row r="102" spans="1:6" ht="22.5" x14ac:dyDescent="0.25">
      <c r="A102" s="923"/>
      <c r="B102" s="196" t="s">
        <v>1392</v>
      </c>
      <c r="C102" s="192">
        <f>+'[2]X U.E CON RESUMEN.1'!E34</f>
        <v>1087301</v>
      </c>
      <c r="D102" s="249">
        <f>+'[2]X U.E CON RESUMEN.1'!F34</f>
        <v>414419.6</v>
      </c>
      <c r="E102" s="242">
        <f t="shared" si="8"/>
        <v>38.114523945071326</v>
      </c>
      <c r="F102" s="243">
        <f t="shared" si="7"/>
        <v>7.3692893075124943E-2</v>
      </c>
    </row>
    <row r="103" spans="1:6" ht="22.5" x14ac:dyDescent="0.25">
      <c r="A103" s="923"/>
      <c r="B103" s="196" t="s">
        <v>1393</v>
      </c>
      <c r="C103" s="192">
        <f>+'[2]X U.E CON RESUMEN.1'!E36</f>
        <v>146105</v>
      </c>
      <c r="D103" s="249">
        <f>+'[2]X U.E CON RESUMEN.1'!F36</f>
        <v>71333.399999999994</v>
      </c>
      <c r="E103" s="242">
        <f t="shared" si="8"/>
        <v>48.823380445569967</v>
      </c>
      <c r="F103" s="243">
        <f t="shared" si="7"/>
        <v>1.2684642856865644E-2</v>
      </c>
    </row>
    <row r="104" spans="1:6" ht="22.5" x14ac:dyDescent="0.25">
      <c r="A104" s="923"/>
      <c r="B104" s="196" t="s">
        <v>1394</v>
      </c>
      <c r="C104" s="192">
        <f>+'[2]X U.E CON RESUMEN.1'!E38</f>
        <v>195165</v>
      </c>
      <c r="D104" s="249">
        <f>+'[2]X U.E CON RESUMEN.1'!F38</f>
        <v>116818.72</v>
      </c>
      <c r="E104" s="242">
        <f t="shared" si="8"/>
        <v>59.856388184356824</v>
      </c>
      <c r="F104" s="243">
        <f t="shared" si="7"/>
        <v>2.0772930243002405E-2</v>
      </c>
    </row>
    <row r="105" spans="1:6" ht="22.5" x14ac:dyDescent="0.25">
      <c r="A105" s="923"/>
      <c r="B105" s="196" t="s">
        <v>1395</v>
      </c>
      <c r="C105" s="192">
        <f>+'[2]X U.E CON RESUMEN.1'!E40</f>
        <v>148710</v>
      </c>
      <c r="D105" s="249">
        <f>+'[2]X U.E CON RESUMEN.1'!F40</f>
        <v>78441.06</v>
      </c>
      <c r="E105" s="242">
        <f t="shared" si="8"/>
        <v>52.747669961670361</v>
      </c>
      <c r="F105" s="243">
        <f t="shared" si="7"/>
        <v>1.3948540675391464E-2</v>
      </c>
    </row>
    <row r="106" spans="1:6" ht="22.5" x14ac:dyDescent="0.25">
      <c r="A106" s="923"/>
      <c r="B106" s="196" t="s">
        <v>1396</v>
      </c>
      <c r="C106" s="192">
        <f>+'[2]X U.E CON RESUMEN.1'!E42</f>
        <v>3745</v>
      </c>
      <c r="D106" s="249">
        <f>+'[2]X U.E CON RESUMEN.1'!F42</f>
        <v>1297.3499999999999</v>
      </c>
      <c r="E106" s="242">
        <f t="shared" si="8"/>
        <v>34.642189586114817</v>
      </c>
      <c r="F106" s="243">
        <f t="shared" si="7"/>
        <v>2.3069728080190547E-4</v>
      </c>
    </row>
    <row r="107" spans="1:6" ht="22.5" x14ac:dyDescent="0.25">
      <c r="A107" s="923"/>
      <c r="B107" s="196" t="s">
        <v>1397</v>
      </c>
      <c r="C107" s="192">
        <f>+'[2]X U.E CON RESUMEN.1'!E44</f>
        <v>1237130</v>
      </c>
      <c r="D107" s="249">
        <f>+'[2]X U.E CON RESUMEN.1'!F44</f>
        <v>627401.66</v>
      </c>
      <c r="E107" s="242">
        <f t="shared" si="8"/>
        <v>50.714287099981412</v>
      </c>
      <c r="F107" s="243">
        <f t="shared" si="7"/>
        <v>0.1115657740259773</v>
      </c>
    </row>
    <row r="108" spans="1:6" ht="22.5" x14ac:dyDescent="0.25">
      <c r="A108" s="923"/>
      <c r="B108" s="196" t="s">
        <v>1333</v>
      </c>
      <c r="C108" s="192">
        <f>+'[2]X U.E CON RESUMEN.1'!E50</f>
        <v>339672</v>
      </c>
      <c r="D108" s="249">
        <f>+'[2]X U.E CON RESUMEN.1'!F50</f>
        <v>227403.02000000002</v>
      </c>
      <c r="E108" s="242">
        <f t="shared" si="8"/>
        <v>66.947826138156813</v>
      </c>
      <c r="F108" s="243">
        <f t="shared" si="7"/>
        <v>4.0437243889575931E-2</v>
      </c>
    </row>
    <row r="109" spans="1:6" x14ac:dyDescent="0.25">
      <c r="A109" s="923"/>
      <c r="B109" s="191" t="s">
        <v>1334</v>
      </c>
      <c r="C109" s="192">
        <f>+'[2]X U.E CON RESUMEN.1'!E64</f>
        <v>203962</v>
      </c>
      <c r="D109" s="249">
        <f>+'[2]X U.E CON RESUMEN.1'!F64</f>
        <v>90846.28</v>
      </c>
      <c r="E109" s="242">
        <f t="shared" si="8"/>
        <v>44.540787009344882</v>
      </c>
      <c r="F109" s="243">
        <f t="shared" si="7"/>
        <v>1.6154460837066734E-2</v>
      </c>
    </row>
    <row r="110" spans="1:6" ht="22.5" x14ac:dyDescent="0.25">
      <c r="A110" s="923"/>
      <c r="B110" s="196" t="s">
        <v>1398</v>
      </c>
      <c r="C110" s="192">
        <f>+'[2]X U.E CON RESUMEN.1'!E86</f>
        <v>26104</v>
      </c>
      <c r="D110" s="249">
        <f>+'[2]X U.E CON RESUMEN.1'!F86</f>
        <v>11319.45</v>
      </c>
      <c r="E110" s="242">
        <f t="shared" si="8"/>
        <v>43.362894575543983</v>
      </c>
      <c r="F110" s="243">
        <f t="shared" si="7"/>
        <v>2.0128464448091335E-3</v>
      </c>
    </row>
    <row r="111" spans="1:6" ht="33.75" x14ac:dyDescent="0.25">
      <c r="A111" s="923"/>
      <c r="B111" s="196" t="s">
        <v>1399</v>
      </c>
      <c r="C111" s="192">
        <f>+'[2]X U.E CON RESUMEN.1'!E88</f>
        <v>639460</v>
      </c>
      <c r="D111" s="249">
        <f>+'[2]X U.E CON RESUMEN.1'!F88</f>
        <v>283453.38</v>
      </c>
      <c r="E111" s="242">
        <f t="shared" si="8"/>
        <v>44.32699152409846</v>
      </c>
      <c r="F111" s="243">
        <f t="shared" si="7"/>
        <v>5.0404227078359128E-2</v>
      </c>
    </row>
    <row r="112" spans="1:6" ht="22.5" x14ac:dyDescent="0.25">
      <c r="A112" s="923"/>
      <c r="B112" s="196" t="s">
        <v>1400</v>
      </c>
      <c r="C112" s="192">
        <f>+'[2]X U.E CON RESUMEN.1'!E90</f>
        <v>1713577</v>
      </c>
      <c r="D112" s="249">
        <f>+'[2]X U.E CON RESUMEN.1'!F90</f>
        <v>108155.92</v>
      </c>
      <c r="E112" s="242">
        <f t="shared" si="8"/>
        <v>6.3117046972502546</v>
      </c>
      <c r="F112" s="243">
        <f t="shared" si="7"/>
        <v>1.9232494428356593E-2</v>
      </c>
    </row>
    <row r="113" spans="1:6" ht="22.5" x14ac:dyDescent="0.25">
      <c r="A113" s="923"/>
      <c r="B113" s="224" t="s">
        <v>1335</v>
      </c>
      <c r="C113" s="192">
        <f>+'[2]X U.E CON RESUMEN.1'!E97</f>
        <v>3767622</v>
      </c>
      <c r="D113" s="249">
        <f>+'[2]X U.E CON RESUMEN.1'!F97</f>
        <v>571934</v>
      </c>
      <c r="E113" s="242">
        <f t="shared" si="8"/>
        <v>15.180238357244969</v>
      </c>
      <c r="F113" s="243">
        <f t="shared" si="7"/>
        <v>0.10170240767576753</v>
      </c>
    </row>
    <row r="114" spans="1:6" x14ac:dyDescent="0.25">
      <c r="A114" s="923"/>
      <c r="B114" s="195" t="s">
        <v>1305</v>
      </c>
      <c r="C114" s="192">
        <f>+'[2]X U.E CON RESUMEN.1'!E121</f>
        <v>4443179</v>
      </c>
      <c r="D114" s="249">
        <f>+'[2]X U.E CON RESUMEN.1'!F121</f>
        <v>3513430.89</v>
      </c>
      <c r="E114" s="242">
        <f t="shared" si="8"/>
        <v>79.074709571682803</v>
      </c>
      <c r="F114" s="243">
        <f t="shared" si="7"/>
        <v>0.62476506155503042</v>
      </c>
    </row>
    <row r="115" spans="1:6" x14ac:dyDescent="0.25">
      <c r="A115" s="923"/>
      <c r="B115" s="195" t="s">
        <v>1304</v>
      </c>
      <c r="C115" s="192">
        <f>+'[2]X U.E CON RESUMEN.1'!E132</f>
        <v>1926149</v>
      </c>
      <c r="D115" s="249">
        <f>+'[2]X U.E CON RESUMEN.1'!F132</f>
        <v>844856.98</v>
      </c>
      <c r="E115" s="242">
        <f t="shared" si="8"/>
        <v>43.862493503877424</v>
      </c>
      <c r="F115" s="243">
        <f t="shared" si="7"/>
        <v>0.1502340987031332</v>
      </c>
    </row>
    <row r="116" spans="1:6" x14ac:dyDescent="0.25">
      <c r="A116" s="923"/>
      <c r="B116" s="195" t="s">
        <v>1306</v>
      </c>
      <c r="C116" s="192">
        <f>+'[2]X U.E CON RESUMEN.1'!E141</f>
        <v>5962730</v>
      </c>
      <c r="D116" s="249">
        <f>+'[2]X U.E CON RESUMEN.1'!F141</f>
        <v>2540006.21</v>
      </c>
      <c r="E116" s="242">
        <f t="shared" si="8"/>
        <v>42.598041668832899</v>
      </c>
      <c r="F116" s="243">
        <f t="shared" si="7"/>
        <v>0.45166880631052048</v>
      </c>
    </row>
    <row r="117" spans="1:6" ht="22.5" x14ac:dyDescent="0.25">
      <c r="A117" s="923"/>
      <c r="B117" s="203" t="s">
        <v>1309</v>
      </c>
      <c r="C117" s="192">
        <f>+'[2]X U.E CON RESUMEN.1'!E149</f>
        <v>26878032</v>
      </c>
      <c r="D117" s="249">
        <f>+'[2]X U.E CON RESUMEN.1'!F149</f>
        <v>13480576.59</v>
      </c>
      <c r="E117" s="242">
        <f t="shared" si="8"/>
        <v>50.154626611055455</v>
      </c>
      <c r="F117" s="243">
        <f t="shared" si="7"/>
        <v>2.3971421458780005</v>
      </c>
    </row>
    <row r="118" spans="1:6" ht="22.5" x14ac:dyDescent="0.25">
      <c r="A118" s="923"/>
      <c r="B118" s="196" t="s">
        <v>1401</v>
      </c>
      <c r="C118" s="225">
        <f>+'[2]X U.E CON RESUMEN.1'!E155</f>
        <v>17356238</v>
      </c>
      <c r="D118" s="257">
        <f>+'[2]X U.E CON RESUMEN.1'!F155</f>
        <v>7226825.5499999998</v>
      </c>
      <c r="E118" s="242">
        <f>+D118/C118*100</f>
        <v>41.638202645066286</v>
      </c>
      <c r="F118" s="243">
        <f t="shared" si="7"/>
        <v>1.2850880666086524</v>
      </c>
    </row>
    <row r="119" spans="1:6" x14ac:dyDescent="0.25">
      <c r="A119" s="212"/>
      <c r="B119" s="199" t="s">
        <v>1301</v>
      </c>
      <c r="C119" s="207">
        <f>SUM(C120:C123)</f>
        <v>1693700</v>
      </c>
      <c r="D119" s="251">
        <f>SUM(D120:D123)</f>
        <v>835210.07</v>
      </c>
      <c r="E119" s="246">
        <f t="shared" si="8"/>
        <v>49.312751372734247</v>
      </c>
      <c r="F119" s="247">
        <f t="shared" si="7"/>
        <v>0.14851866654901846</v>
      </c>
    </row>
    <row r="120" spans="1:6" ht="22.5" x14ac:dyDescent="0.25">
      <c r="A120" s="940" t="s">
        <v>1336</v>
      </c>
      <c r="B120" s="226" t="s">
        <v>1402</v>
      </c>
      <c r="C120" s="208">
        <f>+'[2]X U.E CON RESUMEN.1'!E21</f>
        <v>200698</v>
      </c>
      <c r="D120" s="253">
        <f>+'[2]X U.E CON RESUMEN.1'!F21</f>
        <v>100530.41</v>
      </c>
      <c r="E120" s="242">
        <f t="shared" si="8"/>
        <v>50.090389540503644</v>
      </c>
      <c r="F120" s="243">
        <f t="shared" si="7"/>
        <v>1.787651152341364E-2</v>
      </c>
    </row>
    <row r="121" spans="1:6" x14ac:dyDescent="0.25">
      <c r="A121" s="941"/>
      <c r="B121" s="196" t="s">
        <v>1337</v>
      </c>
      <c r="C121" s="208">
        <f>+'[2]X U.E CON RESUMEN.1'!E23</f>
        <v>724672</v>
      </c>
      <c r="D121" s="253">
        <f>+'[2]X U.E CON RESUMEN.1'!F23</f>
        <v>365145.3</v>
      </c>
      <c r="E121" s="242">
        <f t="shared" si="8"/>
        <v>50.387665040183691</v>
      </c>
      <c r="F121" s="243">
        <f t="shared" si="7"/>
        <v>6.4930841952900928E-2</v>
      </c>
    </row>
    <row r="122" spans="1:6" ht="22.5" x14ac:dyDescent="0.25">
      <c r="A122" s="941"/>
      <c r="B122" s="227" t="s">
        <v>1403</v>
      </c>
      <c r="C122" s="208">
        <f>+'[2]X U.E CON RESUMEN.1'!E83</f>
        <v>290794</v>
      </c>
      <c r="D122" s="253">
        <f>+'[2]X U.E CON RESUMEN.1'!F83</f>
        <v>132534.94</v>
      </c>
      <c r="E122" s="242">
        <f t="shared" si="8"/>
        <v>45.576916992785272</v>
      </c>
      <c r="F122" s="243">
        <f t="shared" si="7"/>
        <v>2.3567618814694335E-2</v>
      </c>
    </row>
    <row r="123" spans="1:6" ht="22.5" x14ac:dyDescent="0.25">
      <c r="A123" s="942"/>
      <c r="B123" s="196" t="s">
        <v>1404</v>
      </c>
      <c r="C123" s="208">
        <f>+'[2]X U.E CON RESUMEN.1'!E91</f>
        <v>477536</v>
      </c>
      <c r="D123" s="253">
        <f>+'[2]X U.E CON RESUMEN.1'!F91</f>
        <v>236999.42</v>
      </c>
      <c r="E123" s="242">
        <f t="shared" si="8"/>
        <v>49.629644676003487</v>
      </c>
      <c r="F123" s="243">
        <f t="shared" si="7"/>
        <v>4.2143694258009588E-2</v>
      </c>
    </row>
    <row r="124" spans="1:6" x14ac:dyDescent="0.25">
      <c r="A124" s="212"/>
      <c r="B124" s="199" t="s">
        <v>1301</v>
      </c>
      <c r="C124" s="228">
        <f>SUM(C125:C125)</f>
        <v>3825988</v>
      </c>
      <c r="D124" s="258">
        <f>SUM(D125:D125)</f>
        <v>1588085.62</v>
      </c>
      <c r="E124" s="246">
        <f>+D124/C124*100</f>
        <v>41.50785679411436</v>
      </c>
      <c r="F124" s="247">
        <f t="shared" si="7"/>
        <v>0.28239644985131862</v>
      </c>
    </row>
    <row r="125" spans="1:6" ht="45" x14ac:dyDescent="0.25">
      <c r="A125" s="229" t="s">
        <v>1338</v>
      </c>
      <c r="B125" s="196" t="s">
        <v>1339</v>
      </c>
      <c r="C125" s="192">
        <f>+'[2]X U.E CON RESUMEN.1'!E29</f>
        <v>3825988</v>
      </c>
      <c r="D125" s="252">
        <f>+'[2]X U.E CON RESUMEN.1'!F29</f>
        <v>1588085.62</v>
      </c>
      <c r="E125" s="242">
        <f t="shared" si="8"/>
        <v>41.50785679411436</v>
      </c>
      <c r="F125" s="243">
        <f t="shared" si="7"/>
        <v>0.28239644985131862</v>
      </c>
    </row>
    <row r="126" spans="1:6" x14ac:dyDescent="0.25">
      <c r="A126" s="212"/>
      <c r="B126" s="199" t="s">
        <v>1301</v>
      </c>
      <c r="C126" s="213">
        <f>SUM(C127:C135)</f>
        <v>12042867</v>
      </c>
      <c r="D126" s="255">
        <f>SUM(D127:D135)</f>
        <v>3232659.16</v>
      </c>
      <c r="E126" s="246">
        <f t="shared" ref="E126:E133" si="9">+D126/C126*100</f>
        <v>26.8429366528751</v>
      </c>
      <c r="F126" s="247">
        <f t="shared" si="7"/>
        <v>0.57483769065508306</v>
      </c>
    </row>
    <row r="127" spans="1:6" ht="33.75" x14ac:dyDescent="0.25">
      <c r="A127" s="943" t="s">
        <v>1340</v>
      </c>
      <c r="B127" s="230" t="s">
        <v>1405</v>
      </c>
      <c r="C127" s="231">
        <f>+'[2]X U.E CON RESUMEN.1'!E51</f>
        <v>1414858</v>
      </c>
      <c r="D127" s="259">
        <f>+'[2]X U.E CON RESUMEN.1'!F51</f>
        <v>283237.68</v>
      </c>
      <c r="E127" s="242">
        <f t="shared" si="9"/>
        <v>20.018806127540714</v>
      </c>
      <c r="F127" s="243">
        <f t="shared" si="7"/>
        <v>5.0365870888072033E-2</v>
      </c>
    </row>
    <row r="128" spans="1:6" ht="33.75" x14ac:dyDescent="0.25">
      <c r="A128" s="944"/>
      <c r="B128" s="230" t="s">
        <v>1406</v>
      </c>
      <c r="C128" s="231">
        <f>+'[2]X U.E CON RESUMEN.1'!E65</f>
        <v>1683923</v>
      </c>
      <c r="D128" s="259">
        <f>+'[2]X U.E CON RESUMEN.1'!F65</f>
        <v>133730.91</v>
      </c>
      <c r="E128" s="242">
        <f t="shared" si="9"/>
        <v>7.9416285661517776</v>
      </c>
      <c r="F128" s="243">
        <f t="shared" si="7"/>
        <v>2.3780288508239374E-2</v>
      </c>
    </row>
    <row r="129" spans="1:6" ht="33.75" x14ac:dyDescent="0.25">
      <c r="A129" s="944"/>
      <c r="B129" s="230" t="s">
        <v>1407</v>
      </c>
      <c r="C129" s="231">
        <f>+'[2]X U.E CON RESUMEN.1'!E106</f>
        <v>1902925</v>
      </c>
      <c r="D129" s="259">
        <f>+'[2]X U.E CON RESUMEN.1'!F106</f>
        <v>483825.48</v>
      </c>
      <c r="E129" s="242">
        <f t="shared" si="9"/>
        <v>25.425357278925866</v>
      </c>
      <c r="F129" s="243">
        <f t="shared" si="7"/>
        <v>8.6034780605601185E-2</v>
      </c>
    </row>
    <row r="130" spans="1:6" ht="56.25" x14ac:dyDescent="0.25">
      <c r="A130" s="944"/>
      <c r="B130" s="230" t="s">
        <v>1408</v>
      </c>
      <c r="C130" s="231">
        <f>+'[2]X U.E CON RESUMEN.1'!E112</f>
        <v>93744</v>
      </c>
      <c r="D130" s="259">
        <f>+'[2]X U.E CON RESUMEN.1'!F112</f>
        <v>46527.46</v>
      </c>
      <c r="E130" s="242">
        <f t="shared" si="9"/>
        <v>49.632467144563918</v>
      </c>
      <c r="F130" s="243">
        <f t="shared" si="7"/>
        <v>8.2736027321998109E-3</v>
      </c>
    </row>
    <row r="131" spans="1:6" ht="22.5" x14ac:dyDescent="0.25">
      <c r="A131" s="944"/>
      <c r="B131" s="195" t="s">
        <v>1341</v>
      </c>
      <c r="C131" s="202">
        <f>+'[2]X U.E CON RESUMEN.1'!E122</f>
        <v>2650359</v>
      </c>
      <c r="D131" s="241">
        <f>+'[2]X U.E CON RESUMEN.1'!F122</f>
        <v>608354.5</v>
      </c>
      <c r="E131" s="242">
        <f t="shared" si="9"/>
        <v>22.953664013063889</v>
      </c>
      <c r="F131" s="243">
        <f t="shared" si="7"/>
        <v>0.10817877127498579</v>
      </c>
    </row>
    <row r="132" spans="1:6" ht="22.5" x14ac:dyDescent="0.25">
      <c r="A132" s="944"/>
      <c r="B132" s="195" t="s">
        <v>1342</v>
      </c>
      <c r="C132" s="202">
        <f>+'[2]X U.E CON RESUMEN.1'!E133</f>
        <v>2154225</v>
      </c>
      <c r="D132" s="241">
        <f>+'[2]X U.E CON RESUMEN.1'!F133</f>
        <v>947224.39</v>
      </c>
      <c r="E132" s="242">
        <f t="shared" si="9"/>
        <v>43.970541145887729</v>
      </c>
      <c r="F132" s="243">
        <f t="shared" si="7"/>
        <v>0.16843726911183848</v>
      </c>
    </row>
    <row r="133" spans="1:6" ht="22.5" x14ac:dyDescent="0.25">
      <c r="A133" s="944"/>
      <c r="B133" s="195" t="s">
        <v>1343</v>
      </c>
      <c r="C133" s="202">
        <f>+'[2]X U.E CON RESUMEN.1'!E142</f>
        <v>524901</v>
      </c>
      <c r="D133" s="241">
        <f>+'[2]X U.E CON RESUMEN.1'!F142</f>
        <v>118103.74</v>
      </c>
      <c r="E133" s="242">
        <f t="shared" si="9"/>
        <v>22.500193369797351</v>
      </c>
      <c r="F133" s="243">
        <f t="shared" si="7"/>
        <v>2.100143497940821E-2</v>
      </c>
    </row>
    <row r="134" spans="1:6" ht="22.5" x14ac:dyDescent="0.25">
      <c r="A134" s="944"/>
      <c r="B134" s="195" t="s">
        <v>1344</v>
      </c>
      <c r="C134" s="202">
        <f>+'[2]X U.E CON RESUMEN.1'!E150</f>
        <v>944595</v>
      </c>
      <c r="D134" s="241">
        <f>+'[2]X U.E CON RESUMEN.1'!F150</f>
        <v>540853</v>
      </c>
      <c r="E134" s="242">
        <f t="shared" si="8"/>
        <v>57.257660690560506</v>
      </c>
      <c r="F134" s="243">
        <f>+D134/$D$136*100</f>
        <v>9.6175524271440244E-2</v>
      </c>
    </row>
    <row r="135" spans="1:6" ht="33.75" x14ac:dyDescent="0.25">
      <c r="A135" s="945"/>
      <c r="B135" s="195" t="s">
        <v>1409</v>
      </c>
      <c r="C135" s="232">
        <f>+'[2]X U.E CON RESUMEN.1'!E156</f>
        <v>673337</v>
      </c>
      <c r="D135" s="241">
        <f>+'[2]X U.E CON RESUMEN.1'!F156</f>
        <v>70802</v>
      </c>
      <c r="E135" s="242">
        <f t="shared" si="8"/>
        <v>10.515091254453566</v>
      </c>
      <c r="F135" s="243">
        <f>+D135/$D$136*100</f>
        <v>1.2590148283297886E-2</v>
      </c>
    </row>
    <row r="136" spans="1:6" ht="15.75" thickBot="1" x14ac:dyDescent="0.3">
      <c r="A136" s="233"/>
      <c r="B136" s="234" t="s">
        <v>1345</v>
      </c>
      <c r="C136" s="235">
        <f>+C126+C124+C119+C91+C89+C85+C82+C75+C69+C63+C59+C52+C50+C47+C42+C28+C5</f>
        <v>1228093977</v>
      </c>
      <c r="D136" s="260">
        <f>+D126+D124+D119+D91+D89+D85+D82+D75+D69+D63+D59+D52+D50+D47+D42+D28+D5</f>
        <v>562360334.5</v>
      </c>
      <c r="E136" s="261">
        <f t="shared" si="8"/>
        <v>45.791311172597666</v>
      </c>
      <c r="F136" s="262">
        <f>+D136/$D$136*100</f>
        <v>100</v>
      </c>
    </row>
    <row r="137" spans="1:6" ht="15.75" thickTop="1" x14ac:dyDescent="0.25"/>
  </sheetData>
  <mergeCells count="16">
    <mergeCell ref="A83:A84"/>
    <mergeCell ref="A86:A88"/>
    <mergeCell ref="A92:A118"/>
    <mergeCell ref="A120:A123"/>
    <mergeCell ref="A127:A135"/>
    <mergeCell ref="A76:A81"/>
    <mergeCell ref="A1:F1"/>
    <mergeCell ref="A2:F2"/>
    <mergeCell ref="A6:A27"/>
    <mergeCell ref="A29:A40"/>
    <mergeCell ref="A43:A46"/>
    <mergeCell ref="A48:A49"/>
    <mergeCell ref="A53:A58"/>
    <mergeCell ref="A60:A62"/>
    <mergeCell ref="A64:A68"/>
    <mergeCell ref="A70:A7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7" tint="0.79998168889431442"/>
  </sheetPr>
  <dimension ref="A2:N125"/>
  <sheetViews>
    <sheetView view="pageBreakPreview" topLeftCell="A37" zoomScale="60" zoomScaleNormal="100" workbookViewId="0">
      <selection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4" ht="18" customHeight="1" x14ac:dyDescent="0.2">
      <c r="A2" s="983" t="s">
        <v>25</v>
      </c>
      <c r="B2" s="983"/>
      <c r="C2" s="1"/>
      <c r="D2" s="150"/>
      <c r="E2" s="269"/>
      <c r="F2" s="150"/>
      <c r="G2" s="150"/>
      <c r="H2" s="271"/>
      <c r="I2" s="271"/>
      <c r="J2" s="2"/>
    </row>
    <row r="3" spans="1:14" ht="25.5" customHeight="1" x14ac:dyDescent="0.2">
      <c r="A3" s="987" t="s">
        <v>6</v>
      </c>
      <c r="B3" s="988"/>
      <c r="C3" s="988"/>
      <c r="D3" s="988"/>
      <c r="E3" s="988"/>
      <c r="F3" s="988"/>
      <c r="G3" s="988"/>
      <c r="H3" s="988"/>
      <c r="I3" s="988"/>
      <c r="J3" s="989"/>
    </row>
    <row r="4" spans="1:14" ht="18" customHeight="1" x14ac:dyDescent="0.2">
      <c r="A4" s="987" t="s">
        <v>17</v>
      </c>
      <c r="B4" s="988"/>
      <c r="C4" s="988"/>
      <c r="D4" s="988"/>
      <c r="E4" s="988"/>
      <c r="F4" s="988"/>
      <c r="G4" s="988"/>
      <c r="H4" s="988"/>
      <c r="I4" s="988"/>
      <c r="J4" s="989"/>
    </row>
    <row r="5" spans="1:14" ht="18" customHeight="1" x14ac:dyDescent="0.2">
      <c r="A5" s="1007" t="s">
        <v>0</v>
      </c>
      <c r="B5" s="1007" t="s">
        <v>1</v>
      </c>
      <c r="C5" s="984" t="s">
        <v>2</v>
      </c>
      <c r="D5" s="990" t="s">
        <v>1440</v>
      </c>
      <c r="E5" s="990"/>
      <c r="F5" s="990"/>
      <c r="G5" s="990"/>
      <c r="H5" s="990" t="s">
        <v>1441</v>
      </c>
      <c r="I5" s="990"/>
      <c r="J5" s="990"/>
    </row>
    <row r="6" spans="1:14" ht="24" customHeight="1" x14ac:dyDescent="0.2">
      <c r="A6" s="1008"/>
      <c r="B6" s="1008"/>
      <c r="C6" s="984"/>
      <c r="D6" s="4" t="s">
        <v>3</v>
      </c>
      <c r="E6" s="4" t="s">
        <v>4</v>
      </c>
      <c r="F6" s="270" t="s">
        <v>1298</v>
      </c>
      <c r="G6" s="270" t="s">
        <v>1439</v>
      </c>
      <c r="H6" s="4" t="s">
        <v>1297</v>
      </c>
      <c r="I6" s="270" t="s">
        <v>1298</v>
      </c>
      <c r="J6" s="270" t="s">
        <v>1439</v>
      </c>
    </row>
    <row r="7" spans="1:14" ht="18.75" customHeight="1" x14ac:dyDescent="0.2">
      <c r="A7" s="1087" t="s">
        <v>582</v>
      </c>
      <c r="B7" s="1088"/>
      <c r="C7" s="151"/>
      <c r="D7" s="151"/>
      <c r="E7" s="81"/>
      <c r="F7" s="81"/>
      <c r="G7" s="529"/>
      <c r="H7" s="67">
        <f>H8+H17++H36+H40</f>
        <v>695037</v>
      </c>
      <c r="I7" s="81">
        <f>I9+I13+I18+I22+I28+I33</f>
        <v>568671.07000000007</v>
      </c>
      <c r="J7" s="529">
        <f>+I7/H7*100</f>
        <v>81.818819717511445</v>
      </c>
    </row>
    <row r="8" spans="1:14" ht="25.5" customHeight="1" x14ac:dyDescent="0.2">
      <c r="A8" s="530">
        <v>1</v>
      </c>
      <c r="B8" s="531" t="s">
        <v>583</v>
      </c>
      <c r="C8" s="532"/>
      <c r="D8" s="532"/>
      <c r="E8" s="754"/>
      <c r="F8" s="754"/>
      <c r="G8" s="529"/>
      <c r="H8" s="67">
        <f>H9+H13</f>
        <v>212858</v>
      </c>
      <c r="I8" s="81">
        <f>I9+I13</f>
        <v>131785</v>
      </c>
      <c r="J8" s="529">
        <f>+I8/H8*100</f>
        <v>61.912166796643774</v>
      </c>
    </row>
    <row r="9" spans="1:14" ht="18.75" customHeight="1" x14ac:dyDescent="0.2">
      <c r="A9" s="377">
        <v>1.1000000000000001</v>
      </c>
      <c r="B9" s="371" t="s">
        <v>605</v>
      </c>
      <c r="C9" s="372"/>
      <c r="D9" s="372"/>
      <c r="E9" s="874"/>
      <c r="F9" s="874"/>
      <c r="G9" s="316"/>
      <c r="H9" s="45">
        <f>H10+H11+H12</f>
        <v>119000</v>
      </c>
      <c r="I9" s="278">
        <f>SUM(I10,I11,I12)</f>
        <v>91785</v>
      </c>
      <c r="J9" s="303">
        <f>+I9/H9*100</f>
        <v>77.130252100840337</v>
      </c>
    </row>
    <row r="10" spans="1:14" ht="25.5" customHeight="1" x14ac:dyDescent="0.2">
      <c r="A10" s="533" t="s">
        <v>569</v>
      </c>
      <c r="B10" s="534" t="s">
        <v>1033</v>
      </c>
      <c r="C10" s="164" t="s">
        <v>218</v>
      </c>
      <c r="D10" s="607" t="s">
        <v>584</v>
      </c>
      <c r="E10" s="38">
        <v>4</v>
      </c>
      <c r="F10" s="390">
        <v>4</v>
      </c>
      <c r="G10" s="290">
        <f>+F10/E10*100</f>
        <v>100</v>
      </c>
      <c r="H10" s="38">
        <v>50000</v>
      </c>
      <c r="I10" s="277">
        <v>45115</v>
      </c>
      <c r="J10" s="290">
        <f>+I10/H10*100</f>
        <v>90.23</v>
      </c>
    </row>
    <row r="11" spans="1:14" ht="18.75" customHeight="1" x14ac:dyDescent="0.2">
      <c r="A11" s="533" t="s">
        <v>570</v>
      </c>
      <c r="B11" s="604" t="s">
        <v>585</v>
      </c>
      <c r="C11" s="164" t="s">
        <v>218</v>
      </c>
      <c r="D11" s="607" t="s">
        <v>586</v>
      </c>
      <c r="E11" s="38">
        <v>30</v>
      </c>
      <c r="F11" s="390">
        <v>30</v>
      </c>
      <c r="G11" s="290">
        <f t="shared" ref="G11:G23" si="0">+F11/E11*100</f>
        <v>100</v>
      </c>
      <c r="H11" s="38">
        <v>50000</v>
      </c>
      <c r="I11" s="277">
        <v>40000</v>
      </c>
      <c r="J11" s="290">
        <f t="shared" ref="J11:J16" si="1">+I11/H11*100</f>
        <v>80</v>
      </c>
    </row>
    <row r="12" spans="1:14" ht="18.75" customHeight="1" x14ac:dyDescent="0.2">
      <c r="A12" s="533" t="s">
        <v>571</v>
      </c>
      <c r="B12" s="604" t="s">
        <v>587</v>
      </c>
      <c r="C12" s="164" t="s">
        <v>218</v>
      </c>
      <c r="D12" s="607" t="s">
        <v>588</v>
      </c>
      <c r="E12" s="38">
        <v>3</v>
      </c>
      <c r="F12" s="390">
        <v>2</v>
      </c>
      <c r="G12" s="290">
        <f t="shared" si="0"/>
        <v>66.666666666666657</v>
      </c>
      <c r="H12" s="38">
        <v>19000</v>
      </c>
      <c r="I12" s="277">
        <v>6670</v>
      </c>
      <c r="J12" s="290">
        <f t="shared" si="1"/>
        <v>35.10526315789474</v>
      </c>
    </row>
    <row r="13" spans="1:14" ht="18.75" customHeight="1" x14ac:dyDescent="0.2">
      <c r="A13" s="370">
        <v>1.2</v>
      </c>
      <c r="B13" s="59" t="s">
        <v>606</v>
      </c>
      <c r="C13" s="161"/>
      <c r="D13" s="372"/>
      <c r="E13" s="874"/>
      <c r="F13" s="874"/>
      <c r="G13" s="316"/>
      <c r="H13" s="45">
        <v>93858</v>
      </c>
      <c r="I13" s="278">
        <f>SUM(I14,I15,I16)</f>
        <v>40000</v>
      </c>
      <c r="J13" s="303">
        <f t="shared" si="1"/>
        <v>42.617571224615908</v>
      </c>
    </row>
    <row r="14" spans="1:14" ht="40.5" customHeight="1" x14ac:dyDescent="0.2">
      <c r="A14" s="76" t="s">
        <v>589</v>
      </c>
      <c r="B14" s="604" t="s">
        <v>590</v>
      </c>
      <c r="C14" s="164" t="s">
        <v>591</v>
      </c>
      <c r="D14" s="607" t="s">
        <v>563</v>
      </c>
      <c r="E14" s="38">
        <v>1</v>
      </c>
      <c r="F14" s="390">
        <v>0</v>
      </c>
      <c r="G14" s="290">
        <f t="shared" si="0"/>
        <v>0</v>
      </c>
      <c r="H14" s="38">
        <v>50000</v>
      </c>
      <c r="I14" s="277">
        <v>0</v>
      </c>
      <c r="J14" s="290">
        <f t="shared" si="1"/>
        <v>0</v>
      </c>
    </row>
    <row r="15" spans="1:14" ht="40.5" customHeight="1" x14ac:dyDescent="0.2">
      <c r="A15" s="76" t="s">
        <v>592</v>
      </c>
      <c r="B15" s="604" t="s">
        <v>593</v>
      </c>
      <c r="C15" s="164" t="s">
        <v>218</v>
      </c>
      <c r="D15" s="607" t="s">
        <v>1023</v>
      </c>
      <c r="E15" s="38">
        <v>40</v>
      </c>
      <c r="F15" s="390">
        <v>40</v>
      </c>
      <c r="G15" s="290">
        <f t="shared" si="0"/>
        <v>100</v>
      </c>
      <c r="H15" s="38">
        <v>40000</v>
      </c>
      <c r="I15" s="277">
        <v>30000</v>
      </c>
      <c r="J15" s="290">
        <f t="shared" si="1"/>
        <v>75</v>
      </c>
    </row>
    <row r="16" spans="1:14" ht="65.25" customHeight="1" x14ac:dyDescent="0.2">
      <c r="A16" s="76" t="s">
        <v>595</v>
      </c>
      <c r="B16" s="604" t="s">
        <v>596</v>
      </c>
      <c r="C16" s="164" t="s">
        <v>218</v>
      </c>
      <c r="D16" s="607" t="s">
        <v>588</v>
      </c>
      <c r="E16" s="38">
        <v>1</v>
      </c>
      <c r="F16" s="390">
        <v>1</v>
      </c>
      <c r="G16" s="290">
        <f t="shared" si="0"/>
        <v>100</v>
      </c>
      <c r="H16" s="38">
        <v>10000</v>
      </c>
      <c r="I16" s="277">
        <v>10000</v>
      </c>
      <c r="J16" s="290">
        <f t="shared" si="1"/>
        <v>100</v>
      </c>
      <c r="K16" s="89"/>
      <c r="L16" s="89"/>
      <c r="M16" s="89"/>
      <c r="N16" s="89"/>
    </row>
    <row r="17" spans="1:14" s="127" customFormat="1" ht="18.75" customHeight="1" x14ac:dyDescent="0.25">
      <c r="A17" s="609" t="s">
        <v>1024</v>
      </c>
      <c r="B17" s="629"/>
      <c r="C17" s="183"/>
      <c r="D17" s="183"/>
      <c r="E17" s="63"/>
      <c r="F17" s="63"/>
      <c r="G17" s="847"/>
      <c r="H17" s="325">
        <f>+H18</f>
        <v>459579</v>
      </c>
      <c r="I17" s="320">
        <f>+I18</f>
        <v>366441.77</v>
      </c>
      <c r="J17" s="320">
        <f>+I17/H17*100</f>
        <v>79.734228500431925</v>
      </c>
      <c r="K17" s="355"/>
      <c r="L17" s="355"/>
      <c r="M17" s="355"/>
      <c r="N17" s="298"/>
    </row>
    <row r="18" spans="1:14" s="127" customFormat="1" ht="28.5" customHeight="1" x14ac:dyDescent="0.25">
      <c r="A18" s="43">
        <v>1</v>
      </c>
      <c r="B18" s="19" t="s">
        <v>1927</v>
      </c>
      <c r="C18" s="183" t="s">
        <v>168</v>
      </c>
      <c r="D18" s="164" t="s">
        <v>1021</v>
      </c>
      <c r="E18" s="63">
        <v>5</v>
      </c>
      <c r="F18" s="636">
        <v>5</v>
      </c>
      <c r="G18" s="290">
        <f t="shared" si="0"/>
        <v>100</v>
      </c>
      <c r="H18" s="845">
        <v>459579</v>
      </c>
      <c r="I18" s="847">
        <v>366441.77</v>
      </c>
      <c r="J18" s="847">
        <f>+I18/H18*100</f>
        <v>79.734228500431925</v>
      </c>
      <c r="K18" s="356"/>
      <c r="L18" s="356"/>
      <c r="M18" s="356"/>
      <c r="N18" s="298"/>
    </row>
    <row r="19" spans="1:14" s="127" customFormat="1" ht="18.75" customHeight="1" x14ac:dyDescent="0.25">
      <c r="A19" s="609" t="s">
        <v>1028</v>
      </c>
      <c r="B19" s="629"/>
      <c r="C19" s="183"/>
      <c r="D19" s="183"/>
      <c r="E19" s="63"/>
      <c r="F19" s="63"/>
      <c r="G19" s="847"/>
      <c r="H19" s="325">
        <f>SUM(H20:H23)</f>
        <v>180057</v>
      </c>
      <c r="I19" s="320">
        <f>SUM(I20:I23)</f>
        <v>163885.76999999999</v>
      </c>
      <c r="J19" s="320">
        <f>+I19/H19*100</f>
        <v>91.018827371332407</v>
      </c>
    </row>
    <row r="20" spans="1:14" s="127" customFormat="1" ht="18.75" customHeight="1" x14ac:dyDescent="0.25">
      <c r="A20" s="43">
        <v>1</v>
      </c>
      <c r="B20" s="604" t="s">
        <v>1515</v>
      </c>
      <c r="C20" s="183" t="s">
        <v>189</v>
      </c>
      <c r="D20" s="711" t="s">
        <v>1022</v>
      </c>
      <c r="E20" s="63">
        <v>1</v>
      </c>
      <c r="F20" s="63">
        <v>1</v>
      </c>
      <c r="G20" s="290">
        <f t="shared" si="0"/>
        <v>100</v>
      </c>
      <c r="H20" s="845">
        <v>153812</v>
      </c>
      <c r="I20" s="847">
        <v>139140.76999999999</v>
      </c>
      <c r="J20" s="847">
        <f>+I20/H20*100</f>
        <v>90.461582971419645</v>
      </c>
    </row>
    <row r="21" spans="1:14" ht="18.75" customHeight="1" x14ac:dyDescent="0.2">
      <c r="A21" s="43">
        <v>2</v>
      </c>
      <c r="B21" s="19" t="s">
        <v>1514</v>
      </c>
      <c r="C21" s="183" t="s">
        <v>189</v>
      </c>
      <c r="D21" s="711" t="s">
        <v>1281</v>
      </c>
      <c r="E21" s="63">
        <v>1</v>
      </c>
      <c r="F21" s="63"/>
      <c r="G21" s="290"/>
      <c r="H21" s="845">
        <v>0</v>
      </c>
      <c r="I21" s="847">
        <v>0</v>
      </c>
      <c r="J21" s="847"/>
    </row>
    <row r="22" spans="1:14" ht="18.75" customHeight="1" x14ac:dyDescent="0.2">
      <c r="A22" s="670">
        <v>3</v>
      </c>
      <c r="B22" s="692" t="s">
        <v>1585</v>
      </c>
      <c r="C22" s="183" t="s">
        <v>1055</v>
      </c>
      <c r="D22" s="693" t="s">
        <v>64</v>
      </c>
      <c r="E22" s="63">
        <v>1</v>
      </c>
      <c r="F22" s="63">
        <v>1</v>
      </c>
      <c r="G22" s="290">
        <f>+F22/E22*100</f>
        <v>100</v>
      </c>
      <c r="H22" s="838">
        <f>6635+14610</f>
        <v>21245</v>
      </c>
      <c r="I22" s="840">
        <f>6635+14610</f>
        <v>21245</v>
      </c>
      <c r="J22" s="847">
        <f t="shared" ref="J22:J28" si="2">+I22/H22*100</f>
        <v>100</v>
      </c>
    </row>
    <row r="23" spans="1:14" ht="41.25" customHeight="1" x14ac:dyDescent="0.2">
      <c r="A23" s="670">
        <v>4</v>
      </c>
      <c r="B23" s="604" t="s">
        <v>1928</v>
      </c>
      <c r="C23" s="183" t="s">
        <v>189</v>
      </c>
      <c r="D23" s="183" t="s">
        <v>64</v>
      </c>
      <c r="E23" s="63">
        <v>1</v>
      </c>
      <c r="F23" s="63">
        <v>1</v>
      </c>
      <c r="G23" s="290">
        <f t="shared" si="0"/>
        <v>100</v>
      </c>
      <c r="H23" s="845">
        <v>5000</v>
      </c>
      <c r="I23" s="847">
        <v>3500</v>
      </c>
      <c r="J23" s="847">
        <f t="shared" si="2"/>
        <v>70</v>
      </c>
    </row>
    <row r="24" spans="1:14" ht="18.75" customHeight="1" x14ac:dyDescent="0.2">
      <c r="A24" s="712" t="s">
        <v>1025</v>
      </c>
      <c r="B24" s="465"/>
      <c r="C24" s="601"/>
      <c r="D24" s="601"/>
      <c r="E24" s="878"/>
      <c r="F24" s="878"/>
      <c r="G24" s="835"/>
      <c r="H24" s="713">
        <f>SUM(H25:H26)</f>
        <v>1543561</v>
      </c>
      <c r="I24" s="714">
        <f>SUM(I25:I26)</f>
        <v>1507597.5899999999</v>
      </c>
      <c r="J24" s="714">
        <f t="shared" si="2"/>
        <v>97.670101149225701</v>
      </c>
    </row>
    <row r="25" spans="1:14" ht="29.25" customHeight="1" x14ac:dyDescent="0.2">
      <c r="A25" s="43">
        <v>1</v>
      </c>
      <c r="B25" s="19" t="s">
        <v>1455</v>
      </c>
      <c r="C25" s="183" t="s">
        <v>40</v>
      </c>
      <c r="D25" s="183"/>
      <c r="E25" s="63"/>
      <c r="F25" s="63"/>
      <c r="G25" s="847"/>
      <c r="H25" s="845">
        <f>355525+10000+589018</f>
        <v>954543</v>
      </c>
      <c r="I25" s="847">
        <f>355524.25+9998.6+571037.37</f>
        <v>936560.22</v>
      </c>
      <c r="J25" s="847">
        <f t="shared" si="2"/>
        <v>98.116084869932521</v>
      </c>
    </row>
    <row r="26" spans="1:14" ht="31.5" customHeight="1" x14ac:dyDescent="0.2">
      <c r="A26" s="43">
        <v>2</v>
      </c>
      <c r="B26" s="604" t="s">
        <v>1578</v>
      </c>
      <c r="C26" s="183" t="s">
        <v>40</v>
      </c>
      <c r="D26" s="183"/>
      <c r="E26" s="63"/>
      <c r="F26" s="63"/>
      <c r="G26" s="847"/>
      <c r="H26" s="845">
        <v>589018</v>
      </c>
      <c r="I26" s="847">
        <v>571037.36999999988</v>
      </c>
      <c r="J26" s="847">
        <f t="shared" si="2"/>
        <v>96.947354749769929</v>
      </c>
    </row>
    <row r="27" spans="1:14" ht="18.75" customHeight="1" x14ac:dyDescent="0.2">
      <c r="A27" s="340" t="s">
        <v>2026</v>
      </c>
      <c r="B27" s="465"/>
      <c r="C27" s="161"/>
      <c r="D27" s="161"/>
      <c r="E27" s="63"/>
      <c r="F27" s="63"/>
      <c r="G27" s="847"/>
      <c r="H27" s="325">
        <f>SUM(H28:H45)</f>
        <v>5073689</v>
      </c>
      <c r="I27" s="320">
        <f>SUM(I28:I45)</f>
        <v>1313118.1399999999</v>
      </c>
      <c r="J27" s="320">
        <f t="shared" si="2"/>
        <v>25.880934759698516</v>
      </c>
    </row>
    <row r="28" spans="1:14" ht="18.75" customHeight="1" x14ac:dyDescent="0.2">
      <c r="A28" s="43">
        <v>1</v>
      </c>
      <c r="B28" s="485" t="s">
        <v>1052</v>
      </c>
      <c r="C28" s="183" t="s">
        <v>170</v>
      </c>
      <c r="D28" s="183" t="s">
        <v>1022</v>
      </c>
      <c r="E28" s="63">
        <v>1</v>
      </c>
      <c r="F28" s="63"/>
      <c r="G28" s="847"/>
      <c r="H28" s="845">
        <v>21000</v>
      </c>
      <c r="I28" s="847">
        <v>417.31</v>
      </c>
      <c r="J28" s="847">
        <f t="shared" si="2"/>
        <v>1.9871904761904762</v>
      </c>
    </row>
    <row r="29" spans="1:14" ht="18.75" customHeight="1" x14ac:dyDescent="0.2">
      <c r="A29" s="43">
        <v>2</v>
      </c>
      <c r="B29" s="485" t="s">
        <v>1053</v>
      </c>
      <c r="C29" s="183" t="s">
        <v>170</v>
      </c>
      <c r="D29" s="183" t="s">
        <v>1022</v>
      </c>
      <c r="E29" s="63">
        <v>1</v>
      </c>
      <c r="F29" s="63"/>
      <c r="G29" s="847"/>
      <c r="H29" s="845">
        <v>700</v>
      </c>
      <c r="I29" s="847">
        <v>191.28</v>
      </c>
      <c r="J29" s="847">
        <f t="shared" ref="J29:J46" si="3">+I29/H29*100</f>
        <v>27.325714285714287</v>
      </c>
    </row>
    <row r="30" spans="1:14" ht="18.75" customHeight="1" x14ac:dyDescent="0.2">
      <c r="A30" s="43">
        <v>3</v>
      </c>
      <c r="B30" s="485" t="s">
        <v>1054</v>
      </c>
      <c r="C30" s="183" t="s">
        <v>1055</v>
      </c>
      <c r="D30" s="183" t="s">
        <v>1022</v>
      </c>
      <c r="E30" s="63">
        <v>1</v>
      </c>
      <c r="F30" s="63"/>
      <c r="G30" s="847"/>
      <c r="H30" s="845">
        <v>48649</v>
      </c>
      <c r="I30" s="847">
        <v>39343</v>
      </c>
      <c r="J30" s="847">
        <f t="shared" si="3"/>
        <v>80.87113815289112</v>
      </c>
    </row>
    <row r="31" spans="1:14" ht="25.5" customHeight="1" x14ac:dyDescent="0.2">
      <c r="A31" s="43">
        <v>4</v>
      </c>
      <c r="B31" s="604" t="s">
        <v>1056</v>
      </c>
      <c r="C31" s="183" t="s">
        <v>46</v>
      </c>
      <c r="D31" s="183" t="s">
        <v>1022</v>
      </c>
      <c r="E31" s="63">
        <v>1</v>
      </c>
      <c r="F31" s="63"/>
      <c r="G31" s="847"/>
      <c r="H31" s="845">
        <v>17619</v>
      </c>
      <c r="I31" s="847">
        <v>429.46</v>
      </c>
      <c r="J31" s="847">
        <f t="shared" si="3"/>
        <v>2.4374822634655771</v>
      </c>
    </row>
    <row r="32" spans="1:14" ht="40.5" customHeight="1" x14ac:dyDescent="0.2">
      <c r="A32" s="43">
        <v>5</v>
      </c>
      <c r="B32" s="604" t="s">
        <v>2275</v>
      </c>
      <c r="C32" s="183" t="s">
        <v>626</v>
      </c>
      <c r="D32" s="183" t="s">
        <v>1022</v>
      </c>
      <c r="E32" s="63">
        <v>1</v>
      </c>
      <c r="F32" s="63">
        <v>1</v>
      </c>
      <c r="G32" s="277">
        <v>100</v>
      </c>
      <c r="H32" s="845">
        <v>89500</v>
      </c>
      <c r="I32" s="847">
        <v>57680.78</v>
      </c>
      <c r="J32" s="847">
        <f t="shared" si="3"/>
        <v>64.447798882681568</v>
      </c>
    </row>
    <row r="33" spans="1:10" ht="40.5" customHeight="1" x14ac:dyDescent="0.2">
      <c r="A33" s="43">
        <v>6</v>
      </c>
      <c r="B33" s="604" t="s">
        <v>1065</v>
      </c>
      <c r="C33" s="40" t="s">
        <v>626</v>
      </c>
      <c r="D33" s="40" t="s">
        <v>1022</v>
      </c>
      <c r="E33" s="63">
        <v>1</v>
      </c>
      <c r="F33" s="63">
        <v>1</v>
      </c>
      <c r="G33" s="277">
        <v>100</v>
      </c>
      <c r="H33" s="845">
        <v>62400</v>
      </c>
      <c r="I33" s="847">
        <v>48781.99</v>
      </c>
      <c r="J33" s="847">
        <f t="shared" si="3"/>
        <v>78.176266025641013</v>
      </c>
    </row>
    <row r="34" spans="1:10" ht="22.5" customHeight="1" x14ac:dyDescent="0.2">
      <c r="A34" s="43">
        <v>7</v>
      </c>
      <c r="B34" s="485" t="s">
        <v>1057</v>
      </c>
      <c r="C34" s="183" t="s">
        <v>628</v>
      </c>
      <c r="D34" s="183" t="s">
        <v>1022</v>
      </c>
      <c r="E34" s="63">
        <v>1</v>
      </c>
      <c r="F34" s="63">
        <v>1</v>
      </c>
      <c r="G34" s="277">
        <v>100</v>
      </c>
      <c r="H34" s="845">
        <v>120000</v>
      </c>
      <c r="I34" s="847">
        <v>0</v>
      </c>
      <c r="J34" s="847">
        <f t="shared" si="3"/>
        <v>0</v>
      </c>
    </row>
    <row r="35" spans="1:10" ht="27" customHeight="1" x14ac:dyDescent="0.2">
      <c r="A35" s="43">
        <v>8</v>
      </c>
      <c r="B35" s="485" t="s">
        <v>1066</v>
      </c>
      <c r="C35" s="183" t="s">
        <v>46</v>
      </c>
      <c r="D35" s="164" t="s">
        <v>1058</v>
      </c>
      <c r="E35" s="63">
        <v>20</v>
      </c>
      <c r="F35" s="636">
        <v>20</v>
      </c>
      <c r="G35" s="277">
        <v>100</v>
      </c>
      <c r="H35" s="845">
        <v>59600</v>
      </c>
      <c r="I35" s="847">
        <v>29449.95</v>
      </c>
      <c r="J35" s="847">
        <f t="shared" si="3"/>
        <v>49.412667785234902</v>
      </c>
    </row>
    <row r="36" spans="1:10" ht="18.75" customHeight="1" x14ac:dyDescent="0.2">
      <c r="A36" s="43">
        <v>9</v>
      </c>
      <c r="B36" s="485" t="s">
        <v>1059</v>
      </c>
      <c r="C36" s="183" t="s">
        <v>628</v>
      </c>
      <c r="D36" s="183" t="s">
        <v>1022</v>
      </c>
      <c r="E36" s="63">
        <v>1</v>
      </c>
      <c r="F36" s="63">
        <v>1</v>
      </c>
      <c r="G36" s="277">
        <v>100</v>
      </c>
      <c r="H36" s="845">
        <v>15000</v>
      </c>
      <c r="I36" s="847">
        <v>11410.28</v>
      </c>
      <c r="J36" s="847">
        <f t="shared" si="3"/>
        <v>76.068533333333335</v>
      </c>
    </row>
    <row r="37" spans="1:10" ht="25.5" customHeight="1" x14ac:dyDescent="0.2">
      <c r="A37" s="43">
        <v>10</v>
      </c>
      <c r="B37" s="485" t="s">
        <v>1060</v>
      </c>
      <c r="C37" s="183" t="s">
        <v>628</v>
      </c>
      <c r="D37" s="183" t="s">
        <v>1022</v>
      </c>
      <c r="E37" s="63">
        <v>1</v>
      </c>
      <c r="F37" s="63">
        <v>1</v>
      </c>
      <c r="G37" s="277">
        <v>100</v>
      </c>
      <c r="H37" s="845">
        <v>22400</v>
      </c>
      <c r="I37" s="847">
        <v>18068.980000000003</v>
      </c>
      <c r="J37" s="847">
        <f t="shared" si="3"/>
        <v>80.665089285714302</v>
      </c>
    </row>
    <row r="38" spans="1:10" ht="18.75" customHeight="1" x14ac:dyDescent="0.2">
      <c r="A38" s="43">
        <v>11</v>
      </c>
      <c r="B38" s="485" t="s">
        <v>1271</v>
      </c>
      <c r="C38" s="183" t="s">
        <v>629</v>
      </c>
      <c r="D38" s="183" t="s">
        <v>1022</v>
      </c>
      <c r="E38" s="63">
        <v>1</v>
      </c>
      <c r="F38" s="63">
        <v>1</v>
      </c>
      <c r="G38" s="847">
        <v>100</v>
      </c>
      <c r="H38" s="845">
        <v>12300</v>
      </c>
      <c r="I38" s="847">
        <v>2111.7800000000002</v>
      </c>
      <c r="J38" s="847">
        <f t="shared" si="3"/>
        <v>17.168943089430897</v>
      </c>
    </row>
    <row r="39" spans="1:10" ht="18.75" customHeight="1" x14ac:dyDescent="0.2">
      <c r="A39" s="43">
        <v>12</v>
      </c>
      <c r="B39" s="485" t="s">
        <v>1061</v>
      </c>
      <c r="C39" s="183" t="s">
        <v>46</v>
      </c>
      <c r="D39" s="183" t="s">
        <v>1022</v>
      </c>
      <c r="E39" s="63">
        <v>1</v>
      </c>
      <c r="F39" s="63"/>
      <c r="G39" s="847"/>
      <c r="H39" s="845">
        <v>82000</v>
      </c>
      <c r="I39" s="847">
        <v>47470.64</v>
      </c>
      <c r="J39" s="847">
        <f t="shared" si="3"/>
        <v>57.891024390243906</v>
      </c>
    </row>
    <row r="40" spans="1:10" ht="18.75" customHeight="1" x14ac:dyDescent="0.2">
      <c r="A40" s="43">
        <v>13</v>
      </c>
      <c r="B40" s="485" t="s">
        <v>1560</v>
      </c>
      <c r="C40" s="183" t="s">
        <v>628</v>
      </c>
      <c r="D40" s="183" t="s">
        <v>1022</v>
      </c>
      <c r="E40" s="63">
        <v>1</v>
      </c>
      <c r="F40" s="63"/>
      <c r="G40" s="847"/>
      <c r="H40" s="845">
        <v>7600</v>
      </c>
      <c r="I40" s="847">
        <v>0</v>
      </c>
      <c r="J40" s="847">
        <f t="shared" si="3"/>
        <v>0</v>
      </c>
    </row>
    <row r="41" spans="1:10" ht="18.75" customHeight="1" x14ac:dyDescent="0.2">
      <c r="A41" s="43">
        <v>14</v>
      </c>
      <c r="B41" s="485" t="s">
        <v>1062</v>
      </c>
      <c r="C41" s="183" t="s">
        <v>628</v>
      </c>
      <c r="D41" s="183" t="s">
        <v>1022</v>
      </c>
      <c r="E41" s="568">
        <v>1</v>
      </c>
      <c r="F41" s="183"/>
      <c r="G41" s="359"/>
      <c r="H41" s="16">
        <v>50000</v>
      </c>
      <c r="I41" s="83">
        <v>3550</v>
      </c>
      <c r="J41" s="83">
        <f t="shared" si="3"/>
        <v>7.1</v>
      </c>
    </row>
    <row r="42" spans="1:10" ht="18.75" customHeight="1" x14ac:dyDescent="0.2">
      <c r="A42" s="43">
        <v>15</v>
      </c>
      <c r="B42" s="485" t="s">
        <v>1063</v>
      </c>
      <c r="C42" s="183" t="s">
        <v>46</v>
      </c>
      <c r="D42" s="183" t="s">
        <v>1022</v>
      </c>
      <c r="E42" s="568">
        <v>1</v>
      </c>
      <c r="F42" s="568"/>
      <c r="G42" s="42"/>
      <c r="H42" s="16">
        <v>20000</v>
      </c>
      <c r="I42" s="83">
        <v>0</v>
      </c>
      <c r="J42" s="83">
        <f t="shared" si="3"/>
        <v>0</v>
      </c>
    </row>
    <row r="43" spans="1:10" s="127" customFormat="1" ht="18.75" customHeight="1" x14ac:dyDescent="0.2">
      <c r="A43" s="43">
        <v>16</v>
      </c>
      <c r="B43" s="604" t="s">
        <v>1247</v>
      </c>
      <c r="C43" s="183" t="s">
        <v>1046</v>
      </c>
      <c r="D43" s="183" t="s">
        <v>1281</v>
      </c>
      <c r="E43" s="568">
        <v>1</v>
      </c>
      <c r="F43" s="183"/>
      <c r="G43" s="359"/>
      <c r="H43" s="124">
        <f>1144458+1798326</f>
        <v>2942784</v>
      </c>
      <c r="I43" s="83">
        <v>13222.5</v>
      </c>
      <c r="J43" s="83">
        <f t="shared" si="3"/>
        <v>0.44931941997781694</v>
      </c>
    </row>
    <row r="44" spans="1:10" s="127" customFormat="1" ht="18.75" customHeight="1" x14ac:dyDescent="0.2">
      <c r="A44" s="43">
        <v>17</v>
      </c>
      <c r="B44" s="19" t="s">
        <v>1491</v>
      </c>
      <c r="C44" s="183" t="s">
        <v>629</v>
      </c>
      <c r="D44" s="183" t="s">
        <v>1281</v>
      </c>
      <c r="E44" s="568">
        <v>1</v>
      </c>
      <c r="F44" s="183"/>
      <c r="G44" s="42">
        <v>70</v>
      </c>
      <c r="H44" s="16">
        <f>155080+1000000</f>
        <v>1155080</v>
      </c>
      <c r="I44" s="42">
        <f>126543.02+665048.5</f>
        <v>791591.52</v>
      </c>
      <c r="J44" s="83">
        <f t="shared" si="3"/>
        <v>68.531315579873251</v>
      </c>
    </row>
    <row r="45" spans="1:10" s="127" customFormat="1" ht="18.75" customHeight="1" x14ac:dyDescent="0.25">
      <c r="A45" s="43">
        <v>18</v>
      </c>
      <c r="B45" s="19" t="s">
        <v>1594</v>
      </c>
      <c r="C45" s="296" t="s">
        <v>1046</v>
      </c>
      <c r="D45" s="296" t="s">
        <v>1929</v>
      </c>
      <c r="E45" s="568">
        <v>0.71</v>
      </c>
      <c r="F45" s="63">
        <v>0.71</v>
      </c>
      <c r="G45" s="715">
        <f>+F45/E45*100</f>
        <v>100</v>
      </c>
      <c r="H45" s="16">
        <f>337421+9636</f>
        <v>347057</v>
      </c>
      <c r="I45" s="42">
        <v>249398.67</v>
      </c>
      <c r="J45" s="42">
        <f t="shared" si="3"/>
        <v>71.86101130361871</v>
      </c>
    </row>
    <row r="46" spans="1:10" s="127" customFormat="1" ht="18.75" customHeight="1" x14ac:dyDescent="0.2">
      <c r="A46" s="340" t="s">
        <v>1189</v>
      </c>
      <c r="B46" s="629"/>
      <c r="C46" s="296"/>
      <c r="D46" s="358"/>
      <c r="E46" s="568"/>
      <c r="F46" s="13"/>
      <c r="G46" s="359"/>
      <c r="H46" s="325">
        <f>SUM(H47:H84)</f>
        <v>15963577</v>
      </c>
      <c r="I46" s="320">
        <f>SUM(I47:I84)</f>
        <v>14880849.76</v>
      </c>
      <c r="J46" s="320">
        <f t="shared" si="3"/>
        <v>93.21751484645327</v>
      </c>
    </row>
    <row r="47" spans="1:10" s="127" customFormat="1" ht="27" customHeight="1" x14ac:dyDescent="0.2">
      <c r="A47" s="43">
        <v>1</v>
      </c>
      <c r="B47" s="604" t="s">
        <v>2024</v>
      </c>
      <c r="C47" s="693" t="s">
        <v>46</v>
      </c>
      <c r="D47" s="183"/>
      <c r="E47" s="568"/>
      <c r="F47" s="13"/>
      <c r="G47" s="359"/>
      <c r="H47" s="16">
        <v>3500</v>
      </c>
      <c r="I47" s="42">
        <v>2500</v>
      </c>
      <c r="J47" s="42">
        <f>+I47/H47*100</f>
        <v>71.428571428571431</v>
      </c>
    </row>
    <row r="48" spans="1:10" s="127" customFormat="1" ht="30" customHeight="1" x14ac:dyDescent="0.2">
      <c r="A48" s="43">
        <v>2</v>
      </c>
      <c r="B48" s="701" t="s">
        <v>1931</v>
      </c>
      <c r="C48" s="183" t="s">
        <v>46</v>
      </c>
      <c r="D48" s="183"/>
      <c r="E48" s="568"/>
      <c r="F48" s="13"/>
      <c r="G48" s="359"/>
      <c r="H48" s="695">
        <v>3500</v>
      </c>
      <c r="I48" s="696">
        <v>2500</v>
      </c>
      <c r="J48" s="42">
        <f>+I48/H48*100</f>
        <v>71.428571428571431</v>
      </c>
    </row>
    <row r="49" spans="1:10" s="127" customFormat="1" ht="39" customHeight="1" x14ac:dyDescent="0.25">
      <c r="A49" s="43">
        <v>3</v>
      </c>
      <c r="B49" s="604" t="s">
        <v>1595</v>
      </c>
      <c r="C49" s="183" t="s">
        <v>628</v>
      </c>
      <c r="D49" s="164" t="s">
        <v>1930</v>
      </c>
      <c r="E49" s="568"/>
      <c r="F49" s="485"/>
      <c r="G49" s="42"/>
      <c r="H49" s="16">
        <v>13467</v>
      </c>
      <c r="I49" s="42">
        <v>0</v>
      </c>
      <c r="J49" s="42">
        <f t="shared" ref="J49:J67" si="4">+I49/H49*100</f>
        <v>0</v>
      </c>
    </row>
    <row r="50" spans="1:10" s="127" customFormat="1" ht="45" customHeight="1" x14ac:dyDescent="0.25">
      <c r="A50" s="43">
        <v>4</v>
      </c>
      <c r="B50" s="604" t="s">
        <v>1596</v>
      </c>
      <c r="C50" s="183" t="s">
        <v>189</v>
      </c>
      <c r="D50" s="164" t="s">
        <v>1930</v>
      </c>
      <c r="E50" s="568"/>
      <c r="F50" s="485"/>
      <c r="G50" s="42"/>
      <c r="H50" s="16">
        <v>15394</v>
      </c>
      <c r="I50" s="42">
        <v>14094.43</v>
      </c>
      <c r="J50" s="42">
        <f t="shared" si="4"/>
        <v>91.557944653761197</v>
      </c>
    </row>
    <row r="51" spans="1:10" s="127" customFormat="1" ht="45" customHeight="1" x14ac:dyDescent="0.25">
      <c r="A51" s="43">
        <v>5</v>
      </c>
      <c r="B51" s="604" t="s">
        <v>1615</v>
      </c>
      <c r="C51" s="183" t="s">
        <v>189</v>
      </c>
      <c r="D51" s="164" t="s">
        <v>1930</v>
      </c>
      <c r="E51" s="568"/>
      <c r="F51" s="485"/>
      <c r="G51" s="42"/>
      <c r="H51" s="16">
        <v>394</v>
      </c>
      <c r="I51" s="42">
        <v>0</v>
      </c>
      <c r="J51" s="42">
        <f t="shared" si="4"/>
        <v>0</v>
      </c>
    </row>
    <row r="52" spans="1:10" s="127" customFormat="1" ht="45" customHeight="1" x14ac:dyDescent="0.25">
      <c r="A52" s="43">
        <v>6</v>
      </c>
      <c r="B52" s="604" t="s">
        <v>1597</v>
      </c>
      <c r="C52" s="183" t="s">
        <v>168</v>
      </c>
      <c r="D52" s="164" t="s">
        <v>1930</v>
      </c>
      <c r="E52" s="568"/>
      <c r="F52" s="485"/>
      <c r="G52" s="42"/>
      <c r="H52" s="16">
        <v>394</v>
      </c>
      <c r="I52" s="42">
        <v>0</v>
      </c>
      <c r="J52" s="42">
        <f t="shared" si="4"/>
        <v>0</v>
      </c>
    </row>
    <row r="53" spans="1:10" s="127" customFormat="1" ht="44.25" customHeight="1" x14ac:dyDescent="0.25">
      <c r="A53" s="43">
        <v>7</v>
      </c>
      <c r="B53" s="604" t="s">
        <v>1598</v>
      </c>
      <c r="C53" s="183" t="s">
        <v>1055</v>
      </c>
      <c r="D53" s="164" t="s">
        <v>1930</v>
      </c>
      <c r="E53" s="568"/>
      <c r="F53" s="485"/>
      <c r="G53" s="42"/>
      <c r="H53" s="16">
        <v>576298</v>
      </c>
      <c r="I53" s="42">
        <v>562967.22</v>
      </c>
      <c r="J53" s="42">
        <f t="shared" si="4"/>
        <v>97.68682521889717</v>
      </c>
    </row>
    <row r="54" spans="1:10" s="127" customFormat="1" ht="45" customHeight="1" x14ac:dyDescent="0.25">
      <c r="A54" s="43">
        <v>8</v>
      </c>
      <c r="B54" s="604" t="s">
        <v>1599</v>
      </c>
      <c r="C54" s="183" t="s">
        <v>46</v>
      </c>
      <c r="D54" s="164" t="s">
        <v>1930</v>
      </c>
      <c r="E54" s="568"/>
      <c r="F54" s="485"/>
      <c r="G54" s="42"/>
      <c r="H54" s="16">
        <v>394</v>
      </c>
      <c r="I54" s="42">
        <v>0</v>
      </c>
      <c r="J54" s="42">
        <f t="shared" si="4"/>
        <v>0</v>
      </c>
    </row>
    <row r="55" spans="1:10" s="127" customFormat="1" ht="45" customHeight="1" x14ac:dyDescent="0.25">
      <c r="A55" s="43">
        <v>9</v>
      </c>
      <c r="B55" s="604" t="s">
        <v>1600</v>
      </c>
      <c r="C55" s="183" t="s">
        <v>46</v>
      </c>
      <c r="D55" s="164" t="s">
        <v>1930</v>
      </c>
      <c r="E55" s="568"/>
      <c r="F55" s="485"/>
      <c r="G55" s="42"/>
      <c r="H55" s="16">
        <v>394</v>
      </c>
      <c r="I55" s="42">
        <v>0</v>
      </c>
      <c r="J55" s="42">
        <f t="shared" si="4"/>
        <v>0</v>
      </c>
    </row>
    <row r="56" spans="1:10" s="127" customFormat="1" ht="45" customHeight="1" x14ac:dyDescent="0.25">
      <c r="A56" s="43">
        <v>10</v>
      </c>
      <c r="B56" s="604" t="s">
        <v>1601</v>
      </c>
      <c r="C56" s="183" t="s">
        <v>1049</v>
      </c>
      <c r="D56" s="164" t="s">
        <v>1930</v>
      </c>
      <c r="E56" s="568"/>
      <c r="F56" s="485"/>
      <c r="G56" s="42"/>
      <c r="H56" s="16">
        <v>2985089</v>
      </c>
      <c r="I56" s="42">
        <v>2950401.2</v>
      </c>
      <c r="J56" s="42">
        <f t="shared" si="4"/>
        <v>98.837964295201928</v>
      </c>
    </row>
    <row r="57" spans="1:10" s="127" customFormat="1" ht="45" customHeight="1" x14ac:dyDescent="0.25">
      <c r="A57" s="43">
        <v>11</v>
      </c>
      <c r="B57" s="604" t="s">
        <v>1602</v>
      </c>
      <c r="C57" s="183" t="s">
        <v>629</v>
      </c>
      <c r="D57" s="164" t="s">
        <v>1930</v>
      </c>
      <c r="E57" s="568"/>
      <c r="F57" s="485"/>
      <c r="G57" s="42"/>
      <c r="H57" s="16">
        <v>788872</v>
      </c>
      <c r="I57" s="42">
        <v>777081.14999999991</v>
      </c>
      <c r="J57" s="42">
        <f t="shared" si="4"/>
        <v>98.505353213195534</v>
      </c>
    </row>
    <row r="58" spans="1:10" s="127" customFormat="1" ht="45" customHeight="1" x14ac:dyDescent="0.25">
      <c r="A58" s="43">
        <v>12</v>
      </c>
      <c r="B58" s="604" t="s">
        <v>1603</v>
      </c>
      <c r="C58" s="183" t="s">
        <v>170</v>
      </c>
      <c r="D58" s="164" t="s">
        <v>1930</v>
      </c>
      <c r="E58" s="568"/>
      <c r="F58" s="485"/>
      <c r="G58" s="42"/>
      <c r="H58" s="16">
        <v>268239</v>
      </c>
      <c r="I58" s="42">
        <v>268026.40000000002</v>
      </c>
      <c r="J58" s="42">
        <f t="shared" si="4"/>
        <v>99.920742323077562</v>
      </c>
    </row>
    <row r="59" spans="1:10" s="127" customFormat="1" ht="45" customHeight="1" x14ac:dyDescent="0.25">
      <c r="A59" s="43">
        <v>13</v>
      </c>
      <c r="B59" s="604" t="s">
        <v>1604</v>
      </c>
      <c r="C59" s="183" t="s">
        <v>170</v>
      </c>
      <c r="D59" s="164" t="s">
        <v>1930</v>
      </c>
      <c r="E59" s="568"/>
      <c r="F59" s="485"/>
      <c r="G59" s="42"/>
      <c r="H59" s="16">
        <v>914202</v>
      </c>
      <c r="I59" s="42">
        <v>902710.54000000015</v>
      </c>
      <c r="J59" s="42">
        <f t="shared" si="4"/>
        <v>98.743006469029837</v>
      </c>
    </row>
    <row r="60" spans="1:10" s="127" customFormat="1" ht="45" customHeight="1" x14ac:dyDescent="0.25">
      <c r="A60" s="43">
        <v>14</v>
      </c>
      <c r="B60" s="604" t="s">
        <v>1605</v>
      </c>
      <c r="C60" s="183" t="s">
        <v>170</v>
      </c>
      <c r="D60" s="164" t="s">
        <v>1930</v>
      </c>
      <c r="E60" s="568"/>
      <c r="F60" s="485"/>
      <c r="G60" s="42"/>
      <c r="H60" s="16">
        <v>893907</v>
      </c>
      <c r="I60" s="42">
        <v>881245.05999999994</v>
      </c>
      <c r="J60" s="42">
        <f t="shared" si="4"/>
        <v>98.583528264125903</v>
      </c>
    </row>
    <row r="61" spans="1:10" s="127" customFormat="1" ht="45" customHeight="1" x14ac:dyDescent="0.25">
      <c r="A61" s="43">
        <v>15</v>
      </c>
      <c r="B61" s="604" t="s">
        <v>1606</v>
      </c>
      <c r="C61" s="183" t="s">
        <v>628</v>
      </c>
      <c r="D61" s="164" t="s">
        <v>1930</v>
      </c>
      <c r="E61" s="568"/>
      <c r="F61" s="485"/>
      <c r="G61" s="42"/>
      <c r="H61" s="16">
        <v>118775</v>
      </c>
      <c r="I61" s="42">
        <v>87789.810000000012</v>
      </c>
      <c r="J61" s="42">
        <f t="shared" si="4"/>
        <v>73.912700484108612</v>
      </c>
    </row>
    <row r="62" spans="1:10" s="127" customFormat="1" ht="42" customHeight="1" x14ac:dyDescent="0.25">
      <c r="A62" s="43">
        <v>16</v>
      </c>
      <c r="B62" s="604" t="s">
        <v>1607</v>
      </c>
      <c r="C62" s="183" t="s">
        <v>189</v>
      </c>
      <c r="D62" s="164" t="s">
        <v>1930</v>
      </c>
      <c r="E62" s="568"/>
      <c r="F62" s="485"/>
      <c r="G62" s="42"/>
      <c r="H62" s="16">
        <v>394</v>
      </c>
      <c r="I62" s="42">
        <v>0</v>
      </c>
      <c r="J62" s="42">
        <f t="shared" si="4"/>
        <v>0</v>
      </c>
    </row>
    <row r="63" spans="1:10" s="127" customFormat="1" ht="45" customHeight="1" x14ac:dyDescent="0.25">
      <c r="A63" s="43">
        <v>17</v>
      </c>
      <c r="B63" s="604" t="s">
        <v>1608</v>
      </c>
      <c r="C63" s="183" t="s">
        <v>189</v>
      </c>
      <c r="D63" s="164" t="s">
        <v>1930</v>
      </c>
      <c r="E63" s="568"/>
      <c r="F63" s="485"/>
      <c r="G63" s="42"/>
      <c r="H63" s="16">
        <v>508619</v>
      </c>
      <c r="I63" s="42">
        <v>508129.23</v>
      </c>
      <c r="J63" s="42">
        <f t="shared" si="4"/>
        <v>99.903705917395925</v>
      </c>
    </row>
    <row r="64" spans="1:10" s="127" customFormat="1" ht="45" customHeight="1" x14ac:dyDescent="0.25">
      <c r="A64" s="43">
        <v>18</v>
      </c>
      <c r="B64" s="604" t="s">
        <v>1609</v>
      </c>
      <c r="C64" s="183" t="s">
        <v>40</v>
      </c>
      <c r="D64" s="164" t="s">
        <v>1930</v>
      </c>
      <c r="E64" s="568"/>
      <c r="F64" s="485"/>
      <c r="G64" s="42"/>
      <c r="H64" s="16">
        <v>307052</v>
      </c>
      <c r="I64" s="42">
        <v>300985.89</v>
      </c>
      <c r="J64" s="42">
        <f t="shared" si="4"/>
        <v>98.024403032711078</v>
      </c>
    </row>
    <row r="65" spans="1:10" s="127" customFormat="1" ht="45" customHeight="1" x14ac:dyDescent="0.25">
      <c r="A65" s="43">
        <v>19</v>
      </c>
      <c r="B65" s="604" t="s">
        <v>1610</v>
      </c>
      <c r="C65" s="183" t="s">
        <v>1055</v>
      </c>
      <c r="D65" s="164" t="s">
        <v>1930</v>
      </c>
      <c r="E65" s="568"/>
      <c r="F65" s="485"/>
      <c r="G65" s="42"/>
      <c r="H65" s="16">
        <v>407300</v>
      </c>
      <c r="I65" s="42">
        <v>393865.67000000004</v>
      </c>
      <c r="J65" s="42">
        <f t="shared" si="4"/>
        <v>96.701613061625352</v>
      </c>
    </row>
    <row r="66" spans="1:10" s="127" customFormat="1" ht="45" customHeight="1" x14ac:dyDescent="0.25">
      <c r="A66" s="43">
        <v>20</v>
      </c>
      <c r="B66" s="604" t="s">
        <v>1611</v>
      </c>
      <c r="C66" s="183" t="s">
        <v>1046</v>
      </c>
      <c r="D66" s="164" t="s">
        <v>1930</v>
      </c>
      <c r="E66" s="568"/>
      <c r="F66" s="485"/>
      <c r="G66" s="42"/>
      <c r="H66" s="16">
        <v>1495865</v>
      </c>
      <c r="I66" s="42">
        <v>1402316.37</v>
      </c>
      <c r="J66" s="42">
        <f t="shared" si="4"/>
        <v>93.746184983270552</v>
      </c>
    </row>
    <row r="67" spans="1:10" s="127" customFormat="1" ht="31.5" customHeight="1" x14ac:dyDescent="0.25">
      <c r="A67" s="43">
        <v>21</v>
      </c>
      <c r="B67" s="604" t="s">
        <v>2027</v>
      </c>
      <c r="C67" s="183" t="s">
        <v>1046</v>
      </c>
      <c r="D67" s="183"/>
      <c r="E67" s="568"/>
      <c r="F67" s="485"/>
      <c r="G67" s="42"/>
      <c r="H67" s="16">
        <v>1006681</v>
      </c>
      <c r="I67" s="42">
        <v>888975.05999999994</v>
      </c>
      <c r="J67" s="42">
        <f t="shared" si="4"/>
        <v>88.30752343592458</v>
      </c>
    </row>
    <row r="68" spans="1:10" s="127" customFormat="1" ht="33.75" customHeight="1" x14ac:dyDescent="0.2">
      <c r="A68" s="43">
        <v>22</v>
      </c>
      <c r="B68" s="604" t="s">
        <v>1612</v>
      </c>
      <c r="C68" s="183" t="s">
        <v>40</v>
      </c>
      <c r="D68" s="183"/>
      <c r="E68" s="568"/>
      <c r="F68" s="13"/>
      <c r="G68" s="359"/>
      <c r="H68" s="16">
        <f>3412080+40362</f>
        <v>3452442</v>
      </c>
      <c r="I68" s="42">
        <f>3250211.93+36666.5</f>
        <v>3286878.43</v>
      </c>
      <c r="J68" s="42">
        <f>+I68/H68*100</f>
        <v>95.204450357167474</v>
      </c>
    </row>
    <row r="69" spans="1:10" s="127" customFormat="1" ht="45" customHeight="1" x14ac:dyDescent="0.2">
      <c r="A69" s="43">
        <v>23</v>
      </c>
      <c r="B69" s="701" t="s">
        <v>1613</v>
      </c>
      <c r="C69" s="693" t="s">
        <v>46</v>
      </c>
      <c r="D69" s="183"/>
      <c r="E69" s="603"/>
      <c r="F69" s="13"/>
      <c r="G69" s="716"/>
      <c r="H69" s="695">
        <v>5200</v>
      </c>
      <c r="I69" s="696">
        <v>5150</v>
      </c>
      <c r="J69" s="42">
        <f>+I69/H69*100</f>
        <v>99.038461538461547</v>
      </c>
    </row>
    <row r="70" spans="1:10" s="127" customFormat="1" ht="27.75" customHeight="1" x14ac:dyDescent="0.25">
      <c r="A70" s="43">
        <v>24</v>
      </c>
      <c r="B70" s="604" t="s">
        <v>1489</v>
      </c>
      <c r="C70" s="183" t="s">
        <v>1049</v>
      </c>
      <c r="D70" s="183"/>
      <c r="E70" s="568"/>
      <c r="F70" s="183"/>
      <c r="G70" s="359"/>
      <c r="H70" s="16">
        <f>68455+183215</f>
        <v>251670</v>
      </c>
      <c r="I70" s="42">
        <f>36004.7+37339.62</f>
        <v>73344.320000000007</v>
      </c>
      <c r="J70" s="311">
        <f>+I70/H70*100</f>
        <v>29.143052409901859</v>
      </c>
    </row>
    <row r="71" spans="1:10" s="127" customFormat="1" ht="31.5" customHeight="1" x14ac:dyDescent="0.2">
      <c r="A71" s="43">
        <v>25</v>
      </c>
      <c r="B71" s="19" t="s">
        <v>1180</v>
      </c>
      <c r="C71" s="183" t="s">
        <v>189</v>
      </c>
      <c r="D71" s="164" t="s">
        <v>1282</v>
      </c>
      <c r="E71" s="568"/>
      <c r="F71" s="13"/>
      <c r="G71" s="359"/>
      <c r="H71" s="16">
        <v>2722</v>
      </c>
      <c r="I71" s="42">
        <v>0</v>
      </c>
      <c r="J71" s="42">
        <f t="shared" ref="J71:J80" si="5">+I71/H71*100</f>
        <v>0</v>
      </c>
    </row>
    <row r="72" spans="1:10" s="127" customFormat="1" ht="30" customHeight="1" x14ac:dyDescent="0.25">
      <c r="A72" s="43">
        <v>26</v>
      </c>
      <c r="B72" s="19" t="s">
        <v>1184</v>
      </c>
      <c r="C72" s="183" t="s">
        <v>189</v>
      </c>
      <c r="D72" s="164" t="s">
        <v>1282</v>
      </c>
      <c r="E72" s="568"/>
      <c r="F72" s="164"/>
      <c r="G72" s="700"/>
      <c r="H72" s="16">
        <v>600</v>
      </c>
      <c r="I72" s="42">
        <v>0</v>
      </c>
      <c r="J72" s="42">
        <f>+I72/H72*100</f>
        <v>0</v>
      </c>
    </row>
    <row r="73" spans="1:10" s="127" customFormat="1" ht="32.25" customHeight="1" x14ac:dyDescent="0.2">
      <c r="A73" s="43">
        <v>27</v>
      </c>
      <c r="B73" s="19" t="s">
        <v>1181</v>
      </c>
      <c r="C73" s="183" t="s">
        <v>189</v>
      </c>
      <c r="D73" s="164" t="s">
        <v>1282</v>
      </c>
      <c r="E73" s="568"/>
      <c r="F73" s="13"/>
      <c r="G73" s="359"/>
      <c r="H73" s="16">
        <v>592470</v>
      </c>
      <c r="I73" s="42">
        <v>572853.91</v>
      </c>
      <c r="J73" s="42">
        <f t="shared" si="5"/>
        <v>96.689099870035619</v>
      </c>
    </row>
    <row r="74" spans="1:10" s="127" customFormat="1" ht="33.75" customHeight="1" x14ac:dyDescent="0.25">
      <c r="A74" s="43">
        <v>28</v>
      </c>
      <c r="B74" s="19" t="s">
        <v>1183</v>
      </c>
      <c r="C74" s="183" t="s">
        <v>189</v>
      </c>
      <c r="D74" s="164" t="s">
        <v>1282</v>
      </c>
      <c r="E74" s="568"/>
      <c r="F74" s="164"/>
      <c r="G74" s="700"/>
      <c r="H74" s="16">
        <v>192</v>
      </c>
      <c r="I74" s="42">
        <v>0</v>
      </c>
      <c r="J74" s="42">
        <f t="shared" si="5"/>
        <v>0</v>
      </c>
    </row>
    <row r="75" spans="1:10" s="127" customFormat="1" ht="36.75" customHeight="1" x14ac:dyDescent="0.25">
      <c r="A75" s="43">
        <v>29</v>
      </c>
      <c r="B75" s="19" t="s">
        <v>1616</v>
      </c>
      <c r="C75" s="183" t="s">
        <v>628</v>
      </c>
      <c r="D75" s="164" t="s">
        <v>1282</v>
      </c>
      <c r="E75" s="568"/>
      <c r="F75" s="164"/>
      <c r="G75" s="700"/>
      <c r="H75" s="16">
        <v>302049</v>
      </c>
      <c r="I75" s="42">
        <v>0</v>
      </c>
      <c r="J75" s="42">
        <f>+I75/H75*100</f>
        <v>0</v>
      </c>
    </row>
    <row r="76" spans="1:10" s="127" customFormat="1" ht="39.75" customHeight="1" x14ac:dyDescent="0.2">
      <c r="A76" s="43">
        <v>30</v>
      </c>
      <c r="B76" s="604" t="s">
        <v>2319</v>
      </c>
      <c r="C76" s="183" t="s">
        <v>628</v>
      </c>
      <c r="D76" s="183"/>
      <c r="E76" s="568"/>
      <c r="F76" s="13"/>
      <c r="G76" s="359"/>
      <c r="H76" s="16">
        <v>76100</v>
      </c>
      <c r="I76" s="42">
        <v>64364.929999999993</v>
      </c>
      <c r="J76" s="42">
        <f t="shared" si="5"/>
        <v>84.579408672798934</v>
      </c>
    </row>
    <row r="77" spans="1:10" s="127" customFormat="1" ht="39.75" customHeight="1" x14ac:dyDescent="0.2">
      <c r="A77" s="43">
        <v>31</v>
      </c>
      <c r="B77" s="604" t="s">
        <v>2320</v>
      </c>
      <c r="C77" s="183" t="s">
        <v>628</v>
      </c>
      <c r="D77" s="183"/>
      <c r="E77" s="568"/>
      <c r="F77" s="13"/>
      <c r="G77" s="359"/>
      <c r="H77" s="16">
        <v>72100</v>
      </c>
      <c r="I77" s="42">
        <v>70698.559999999998</v>
      </c>
      <c r="J77" s="42">
        <f t="shared" si="5"/>
        <v>98.056255201109565</v>
      </c>
    </row>
    <row r="78" spans="1:10" s="127" customFormat="1" ht="39.75" customHeight="1" x14ac:dyDescent="0.2">
      <c r="A78" s="43">
        <v>32</v>
      </c>
      <c r="B78" s="604" t="s">
        <v>2321</v>
      </c>
      <c r="C78" s="183" t="s">
        <v>628</v>
      </c>
      <c r="D78" s="183"/>
      <c r="E78" s="568"/>
      <c r="F78" s="13"/>
      <c r="G78" s="359"/>
      <c r="H78" s="16">
        <v>65100</v>
      </c>
      <c r="I78" s="42">
        <v>64525.950000000004</v>
      </c>
      <c r="J78" s="42">
        <f t="shared" si="5"/>
        <v>99.118202764976971</v>
      </c>
    </row>
    <row r="79" spans="1:10" s="127" customFormat="1" ht="39.75" customHeight="1" x14ac:dyDescent="0.2">
      <c r="A79" s="43">
        <v>33</v>
      </c>
      <c r="B79" s="604" t="s">
        <v>2322</v>
      </c>
      <c r="C79" s="183" t="s">
        <v>628</v>
      </c>
      <c r="D79" s="183"/>
      <c r="E79" s="568"/>
      <c r="F79" s="13"/>
      <c r="G79" s="359"/>
      <c r="H79" s="16">
        <v>60100</v>
      </c>
      <c r="I79" s="42">
        <v>53523.47</v>
      </c>
      <c r="J79" s="42">
        <f t="shared" si="5"/>
        <v>89.057354409317796</v>
      </c>
    </row>
    <row r="80" spans="1:10" s="127" customFormat="1" ht="39.75" customHeight="1" x14ac:dyDescent="0.2">
      <c r="A80" s="43">
        <v>34</v>
      </c>
      <c r="B80" s="604" t="s">
        <v>2323</v>
      </c>
      <c r="C80" s="183" t="s">
        <v>628</v>
      </c>
      <c r="D80" s="183"/>
      <c r="E80" s="568"/>
      <c r="F80" s="13"/>
      <c r="G80" s="359"/>
      <c r="H80" s="16">
        <v>500</v>
      </c>
      <c r="I80" s="42">
        <v>0</v>
      </c>
      <c r="J80" s="42">
        <f t="shared" si="5"/>
        <v>0</v>
      </c>
    </row>
    <row r="81" spans="1:10" s="127" customFormat="1" ht="25.5" customHeight="1" x14ac:dyDescent="0.25">
      <c r="A81" s="955">
        <v>35</v>
      </c>
      <c r="B81" s="956" t="s">
        <v>1490</v>
      </c>
      <c r="C81" s="980" t="s">
        <v>1185</v>
      </c>
      <c r="D81" s="183" t="s">
        <v>1186</v>
      </c>
      <c r="E81" s="581">
        <v>2.78</v>
      </c>
      <c r="F81" s="183"/>
      <c r="G81" s="359"/>
      <c r="H81" s="978">
        <v>772543</v>
      </c>
      <c r="I81" s="1006">
        <v>745922.16</v>
      </c>
      <c r="J81" s="958">
        <f>+I81/H81*100</f>
        <v>96.554128378614521</v>
      </c>
    </row>
    <row r="82" spans="1:10" s="127" customFormat="1" ht="18" customHeight="1" x14ac:dyDescent="0.25">
      <c r="A82" s="955"/>
      <c r="B82" s="956"/>
      <c r="C82" s="980"/>
      <c r="D82" s="183" t="s">
        <v>1187</v>
      </c>
      <c r="E82" s="581">
        <v>18.399999999999999</v>
      </c>
      <c r="F82" s="183"/>
      <c r="G82" s="359"/>
      <c r="H82" s="978"/>
      <c r="I82" s="1006"/>
      <c r="J82" s="970"/>
    </row>
    <row r="83" spans="1:10" s="127" customFormat="1" ht="18" customHeight="1" x14ac:dyDescent="0.25">
      <c r="A83" s="955"/>
      <c r="B83" s="956"/>
      <c r="C83" s="980"/>
      <c r="D83" s="183" t="s">
        <v>1188</v>
      </c>
      <c r="E83" s="581">
        <v>996</v>
      </c>
      <c r="F83" s="183"/>
      <c r="G83" s="359"/>
      <c r="H83" s="978"/>
      <c r="I83" s="1006"/>
      <c r="J83" s="959"/>
    </row>
    <row r="84" spans="1:10" s="127" customFormat="1" ht="44.25" customHeight="1" x14ac:dyDescent="0.25">
      <c r="A84" s="43">
        <v>36</v>
      </c>
      <c r="B84" s="19" t="s">
        <v>1182</v>
      </c>
      <c r="C84" s="183" t="s">
        <v>1055</v>
      </c>
      <c r="D84" s="164" t="s">
        <v>1282</v>
      </c>
      <c r="E84" s="568"/>
      <c r="F84" s="164"/>
      <c r="G84" s="700"/>
      <c r="H84" s="16">
        <v>1059</v>
      </c>
      <c r="I84" s="42">
        <v>0</v>
      </c>
      <c r="J84" s="42">
        <f>+I84/H84*100</f>
        <v>0</v>
      </c>
    </row>
    <row r="85" spans="1:10" s="127" customFormat="1" ht="18.75" customHeight="1" x14ac:dyDescent="0.25">
      <c r="A85" s="485"/>
      <c r="B85" s="412" t="s">
        <v>1245</v>
      </c>
      <c r="C85" s="481"/>
      <c r="D85" s="481"/>
      <c r="E85" s="482"/>
      <c r="F85" s="481"/>
      <c r="G85" s="717"/>
      <c r="H85" s="478">
        <f>SUM(H86:H93)</f>
        <v>1008074</v>
      </c>
      <c r="I85" s="393">
        <f>SUM(I86:I93)</f>
        <v>117220.17</v>
      </c>
      <c r="J85" s="393">
        <f>+I85/H85*100</f>
        <v>11.628131466539163</v>
      </c>
    </row>
    <row r="86" spans="1:10" s="146" customFormat="1" ht="18.75" customHeight="1" x14ac:dyDescent="0.25">
      <c r="A86" s="43">
        <v>1</v>
      </c>
      <c r="B86" s="309" t="s">
        <v>1238</v>
      </c>
      <c r="C86" s="607" t="s">
        <v>1049</v>
      </c>
      <c r="D86" s="183" t="s">
        <v>64</v>
      </c>
      <c r="E86" s="568">
        <v>1</v>
      </c>
      <c r="F86" s="183">
        <v>0</v>
      </c>
      <c r="G86" s="42">
        <f>+F86/E86</f>
        <v>0</v>
      </c>
      <c r="H86" s="122">
        <v>128481</v>
      </c>
      <c r="I86" s="311">
        <v>0</v>
      </c>
      <c r="J86" s="42">
        <f>+I86/H86*100</f>
        <v>0</v>
      </c>
    </row>
    <row r="87" spans="1:10" s="146" customFormat="1" ht="18.75" customHeight="1" x14ac:dyDescent="0.25">
      <c r="A87" s="43">
        <v>2</v>
      </c>
      <c r="B87" s="677" t="s">
        <v>1239</v>
      </c>
      <c r="C87" s="164" t="s">
        <v>1055</v>
      </c>
      <c r="D87" s="183" t="s">
        <v>64</v>
      </c>
      <c r="E87" s="568">
        <v>1</v>
      </c>
      <c r="F87" s="183">
        <v>0</v>
      </c>
      <c r="G87" s="42">
        <f t="shared" ref="G87:G93" si="6">+F87/E87</f>
        <v>0</v>
      </c>
      <c r="H87" s="16">
        <v>181164</v>
      </c>
      <c r="I87" s="42">
        <v>1642.67</v>
      </c>
      <c r="J87" s="42">
        <f>+I87/H87*100</f>
        <v>0.9067309178423969</v>
      </c>
    </row>
    <row r="88" spans="1:10" s="146" customFormat="1" ht="18.75" customHeight="1" x14ac:dyDescent="0.25">
      <c r="A88" s="43">
        <v>3</v>
      </c>
      <c r="B88" s="677" t="s">
        <v>1240</v>
      </c>
      <c r="C88" s="164" t="s">
        <v>1055</v>
      </c>
      <c r="D88" s="183" t="s">
        <v>64</v>
      </c>
      <c r="E88" s="568">
        <v>1</v>
      </c>
      <c r="F88" s="183">
        <v>0</v>
      </c>
      <c r="G88" s="42">
        <f t="shared" si="6"/>
        <v>0</v>
      </c>
      <c r="H88" s="16">
        <v>169599</v>
      </c>
      <c r="I88" s="42">
        <v>1642.67</v>
      </c>
      <c r="J88" s="42">
        <f t="shared" ref="J88:J93" si="7">+I88/H88*100</f>
        <v>0.96856113538405297</v>
      </c>
    </row>
    <row r="89" spans="1:10" s="146" customFormat="1" ht="25.5" customHeight="1" x14ac:dyDescent="0.25">
      <c r="A89" s="43">
        <v>4</v>
      </c>
      <c r="B89" s="677" t="s">
        <v>1241</v>
      </c>
      <c r="C89" s="164" t="s">
        <v>1055</v>
      </c>
      <c r="D89" s="183" t="s">
        <v>64</v>
      </c>
      <c r="E89" s="568">
        <v>1</v>
      </c>
      <c r="F89" s="183">
        <v>0</v>
      </c>
      <c r="G89" s="42">
        <f t="shared" si="6"/>
        <v>0</v>
      </c>
      <c r="H89" s="16">
        <v>108572</v>
      </c>
      <c r="I89" s="42">
        <v>1642.66</v>
      </c>
      <c r="J89" s="42">
        <f t="shared" si="7"/>
        <v>1.5129683527981432</v>
      </c>
    </row>
    <row r="90" spans="1:10" s="146" customFormat="1" ht="18.75" customHeight="1" x14ac:dyDescent="0.25">
      <c r="A90" s="43">
        <v>5</v>
      </c>
      <c r="B90" s="677" t="s">
        <v>1242</v>
      </c>
      <c r="C90" s="164" t="s">
        <v>1055</v>
      </c>
      <c r="D90" s="183" t="s">
        <v>64</v>
      </c>
      <c r="E90" s="568">
        <v>1</v>
      </c>
      <c r="F90" s="183">
        <v>0</v>
      </c>
      <c r="G90" s="42">
        <f t="shared" si="6"/>
        <v>0</v>
      </c>
      <c r="H90" s="16">
        <v>13203</v>
      </c>
      <c r="I90" s="42">
        <v>1841.17</v>
      </c>
      <c r="J90" s="42">
        <f t="shared" si="7"/>
        <v>13.945088237521777</v>
      </c>
    </row>
    <row r="91" spans="1:10" s="146" customFormat="1" ht="18.75" customHeight="1" x14ac:dyDescent="0.25">
      <c r="A91" s="43">
        <v>6</v>
      </c>
      <c r="B91" s="677" t="s">
        <v>1243</v>
      </c>
      <c r="C91" s="164" t="s">
        <v>1049</v>
      </c>
      <c r="D91" s="183" t="s">
        <v>64</v>
      </c>
      <c r="E91" s="568">
        <v>1</v>
      </c>
      <c r="F91" s="183">
        <v>0</v>
      </c>
      <c r="G91" s="42">
        <f t="shared" si="6"/>
        <v>0</v>
      </c>
      <c r="H91" s="16">
        <v>105511</v>
      </c>
      <c r="I91" s="42">
        <v>0</v>
      </c>
      <c r="J91" s="42">
        <f t="shared" si="7"/>
        <v>0</v>
      </c>
    </row>
    <row r="92" spans="1:10" s="146" customFormat="1" ht="25.5" customHeight="1" x14ac:dyDescent="0.25">
      <c r="A92" s="43">
        <v>7</v>
      </c>
      <c r="B92" s="677" t="s">
        <v>1244</v>
      </c>
      <c r="C92" s="164" t="s">
        <v>628</v>
      </c>
      <c r="D92" s="183" t="s">
        <v>64</v>
      </c>
      <c r="E92" s="568">
        <v>1</v>
      </c>
      <c r="F92" s="183">
        <v>0.9</v>
      </c>
      <c r="G92" s="42">
        <f t="shared" si="6"/>
        <v>0.9</v>
      </c>
      <c r="H92" s="16">
        <v>109928</v>
      </c>
      <c r="I92" s="42">
        <v>46304.25</v>
      </c>
      <c r="J92" s="42">
        <f t="shared" si="7"/>
        <v>42.122343715886764</v>
      </c>
    </row>
    <row r="93" spans="1:10" s="146" customFormat="1" ht="29.25" customHeight="1" x14ac:dyDescent="0.25">
      <c r="A93" s="43">
        <v>8</v>
      </c>
      <c r="B93" s="677" t="s">
        <v>2025</v>
      </c>
      <c r="C93" s="164" t="s">
        <v>628</v>
      </c>
      <c r="D93" s="183" t="s">
        <v>64</v>
      </c>
      <c r="E93" s="568">
        <v>1</v>
      </c>
      <c r="F93" s="183">
        <v>0.5</v>
      </c>
      <c r="G93" s="42">
        <f t="shared" si="6"/>
        <v>0.5</v>
      </c>
      <c r="H93" s="16">
        <v>191616</v>
      </c>
      <c r="I93" s="42">
        <v>64146.75</v>
      </c>
      <c r="J93" s="42">
        <f t="shared" si="7"/>
        <v>33.476719063126254</v>
      </c>
    </row>
    <row r="94" spans="1:10" x14ac:dyDescent="0.2">
      <c r="A94" s="3"/>
      <c r="C94" s="3"/>
      <c r="E94" s="3"/>
    </row>
    <row r="95" spans="1:10" x14ac:dyDescent="0.2">
      <c r="A95" s="3"/>
      <c r="C95" s="3"/>
      <c r="E95" s="3"/>
    </row>
    <row r="96" spans="1:10" x14ac:dyDescent="0.2">
      <c r="A96" s="3"/>
      <c r="C96" s="3"/>
      <c r="E96" s="3"/>
    </row>
    <row r="97" spans="1:5" x14ac:dyDescent="0.2">
      <c r="A97" s="3"/>
      <c r="C97" s="3"/>
      <c r="E97" s="3"/>
    </row>
    <row r="98" spans="1:5" x14ac:dyDescent="0.2">
      <c r="A98" s="3"/>
      <c r="C98" s="3"/>
      <c r="E98" s="3"/>
    </row>
    <row r="99" spans="1:5" x14ac:dyDescent="0.2">
      <c r="A99" s="3"/>
      <c r="C99" s="3"/>
      <c r="E99" s="3"/>
    </row>
    <row r="100" spans="1:5" x14ac:dyDescent="0.2">
      <c r="A100" s="3"/>
      <c r="C100" s="3"/>
      <c r="E100" s="3"/>
    </row>
    <row r="101" spans="1:5" x14ac:dyDescent="0.2">
      <c r="A101" s="3"/>
      <c r="C101" s="3"/>
      <c r="E101" s="3"/>
    </row>
    <row r="102" spans="1:5" x14ac:dyDescent="0.2">
      <c r="A102" s="3"/>
      <c r="C102" s="3"/>
      <c r="E102" s="3"/>
    </row>
    <row r="103" spans="1:5" x14ac:dyDescent="0.2">
      <c r="A103" s="3"/>
      <c r="C103" s="3"/>
      <c r="E103" s="3"/>
    </row>
    <row r="104" spans="1:5" x14ac:dyDescent="0.2">
      <c r="A104" s="3"/>
      <c r="C104" s="3"/>
      <c r="E104" s="3"/>
    </row>
    <row r="105" spans="1:5" x14ac:dyDescent="0.2">
      <c r="A105" s="3"/>
      <c r="C105" s="3"/>
      <c r="E105" s="3"/>
    </row>
    <row r="106" spans="1:5" x14ac:dyDescent="0.2">
      <c r="A106" s="3"/>
      <c r="C106" s="3"/>
      <c r="E106" s="3"/>
    </row>
    <row r="107" spans="1:5" x14ac:dyDescent="0.2">
      <c r="A107" s="3"/>
      <c r="C107" s="3"/>
      <c r="E107" s="3"/>
    </row>
    <row r="108" spans="1:5" x14ac:dyDescent="0.2">
      <c r="A108" s="3"/>
      <c r="C108" s="3"/>
      <c r="E108" s="3"/>
    </row>
    <row r="109" spans="1:5" x14ac:dyDescent="0.2">
      <c r="A109" s="3"/>
      <c r="C109" s="3"/>
      <c r="E109" s="3"/>
    </row>
    <row r="110" spans="1:5" x14ac:dyDescent="0.2">
      <c r="A110" s="3"/>
      <c r="C110" s="3"/>
      <c r="E110" s="3"/>
    </row>
    <row r="111" spans="1:5" x14ac:dyDescent="0.2">
      <c r="A111" s="3"/>
      <c r="C111" s="3"/>
      <c r="E111" s="3"/>
    </row>
    <row r="112" spans="1:5" x14ac:dyDescent="0.2">
      <c r="A112" s="3"/>
      <c r="C112" s="3"/>
      <c r="E112" s="3"/>
    </row>
    <row r="113" spans="1:5" x14ac:dyDescent="0.2">
      <c r="A113" s="3"/>
      <c r="C113" s="3"/>
      <c r="E113" s="3"/>
    </row>
    <row r="114" spans="1:5" x14ac:dyDescent="0.2">
      <c r="A114" s="3"/>
      <c r="C114" s="3"/>
      <c r="E114" s="3"/>
    </row>
    <row r="115" spans="1:5" x14ac:dyDescent="0.2">
      <c r="A115" s="3"/>
      <c r="C115" s="3"/>
      <c r="E115" s="3"/>
    </row>
    <row r="116" spans="1:5" x14ac:dyDescent="0.2">
      <c r="A116" s="3"/>
      <c r="C116" s="3"/>
      <c r="E116" s="3"/>
    </row>
    <row r="117" spans="1:5" x14ac:dyDescent="0.2">
      <c r="A117" s="3"/>
      <c r="C117" s="3"/>
      <c r="E117" s="3"/>
    </row>
    <row r="118" spans="1:5" x14ac:dyDescent="0.2">
      <c r="A118" s="3"/>
      <c r="C118" s="3"/>
      <c r="E118" s="3"/>
    </row>
    <row r="119" spans="1:5" x14ac:dyDescent="0.2">
      <c r="A119" s="3"/>
      <c r="C119" s="3"/>
      <c r="E119" s="3"/>
    </row>
    <row r="120" spans="1:5" x14ac:dyDescent="0.2">
      <c r="A120" s="3"/>
      <c r="C120" s="3"/>
      <c r="E120" s="3"/>
    </row>
    <row r="121" spans="1:5" x14ac:dyDescent="0.2">
      <c r="A121" s="3"/>
      <c r="C121" s="3"/>
      <c r="E121" s="3"/>
    </row>
    <row r="122" spans="1:5" x14ac:dyDescent="0.2">
      <c r="A122" s="3"/>
      <c r="C122" s="3"/>
      <c r="E122" s="3"/>
    </row>
    <row r="123" spans="1:5" x14ac:dyDescent="0.2">
      <c r="A123" s="3"/>
      <c r="C123" s="3"/>
      <c r="E123" s="3"/>
    </row>
    <row r="124" spans="1:5" x14ac:dyDescent="0.2">
      <c r="A124" s="3"/>
      <c r="C124" s="3"/>
      <c r="E124" s="3"/>
    </row>
    <row r="125" spans="1:5" x14ac:dyDescent="0.2">
      <c r="A125" s="3"/>
      <c r="C125" s="3"/>
      <c r="E125" s="3"/>
    </row>
  </sheetData>
  <mergeCells count="15">
    <mergeCell ref="A2:B2"/>
    <mergeCell ref="A5:A6"/>
    <mergeCell ref="B5:B6"/>
    <mergeCell ref="C5:C6"/>
    <mergeCell ref="A7:B7"/>
    <mergeCell ref="D5:G5"/>
    <mergeCell ref="H5:J5"/>
    <mergeCell ref="A3:J3"/>
    <mergeCell ref="A4:J4"/>
    <mergeCell ref="I81:I83"/>
    <mergeCell ref="J81:J83"/>
    <mergeCell ref="H81:H83"/>
    <mergeCell ref="A81:A83"/>
    <mergeCell ref="B81:B83"/>
    <mergeCell ref="C81:C83"/>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7" tint="0.79998168889431442"/>
  </sheetPr>
  <dimension ref="A2:J64"/>
  <sheetViews>
    <sheetView view="pageBreakPreview" zoomScale="60" zoomScaleNormal="100" workbookViewId="0">
      <pane ySplit="6" topLeftCell="A37" activePane="bottomLeft" state="frozen"/>
      <selection activeCell="N15" sqref="N15"/>
      <selection pane="bottomLeft"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0" ht="18" customHeight="1" x14ac:dyDescent="0.2">
      <c r="A2" s="982" t="s">
        <v>23</v>
      </c>
      <c r="B2" s="983"/>
      <c r="C2" s="1"/>
      <c r="D2" s="150"/>
      <c r="E2" s="269"/>
      <c r="F2" s="150"/>
      <c r="G2" s="150"/>
      <c r="H2" s="271"/>
      <c r="I2" s="271"/>
      <c r="J2" s="2"/>
    </row>
    <row r="3" spans="1:10" ht="33" customHeight="1" x14ac:dyDescent="0.2">
      <c r="A3" s="987" t="s">
        <v>6</v>
      </c>
      <c r="B3" s="988"/>
      <c r="C3" s="988"/>
      <c r="D3" s="988"/>
      <c r="E3" s="988"/>
      <c r="F3" s="988"/>
      <c r="G3" s="988"/>
      <c r="H3" s="988"/>
      <c r="I3" s="988"/>
      <c r="J3" s="989"/>
    </row>
    <row r="4" spans="1:10" ht="25.5" customHeight="1" x14ac:dyDescent="0.2">
      <c r="A4" s="987" t="s">
        <v>15</v>
      </c>
      <c r="B4" s="988"/>
      <c r="C4" s="988"/>
      <c r="D4" s="988"/>
      <c r="E4" s="988"/>
      <c r="F4" s="988"/>
      <c r="G4" s="988"/>
      <c r="H4" s="988"/>
      <c r="I4" s="988"/>
      <c r="J4" s="989"/>
    </row>
    <row r="5" spans="1:10" ht="18" customHeight="1" x14ac:dyDescent="0.2">
      <c r="A5" s="984" t="s">
        <v>0</v>
      </c>
      <c r="B5" s="984" t="s">
        <v>1</v>
      </c>
      <c r="C5" s="984" t="s">
        <v>2</v>
      </c>
      <c r="D5" s="990" t="s">
        <v>1440</v>
      </c>
      <c r="E5" s="990"/>
      <c r="F5" s="990"/>
      <c r="G5" s="990"/>
      <c r="H5" s="990" t="s">
        <v>1441</v>
      </c>
      <c r="I5" s="990"/>
      <c r="J5" s="990"/>
    </row>
    <row r="6" spans="1:10" ht="24" customHeight="1" x14ac:dyDescent="0.2">
      <c r="A6" s="984"/>
      <c r="B6" s="984"/>
      <c r="C6" s="984"/>
      <c r="D6" s="484" t="s">
        <v>3</v>
      </c>
      <c r="E6" s="484" t="s">
        <v>4</v>
      </c>
      <c r="F6" s="484" t="s">
        <v>1298</v>
      </c>
      <c r="G6" s="484" t="s">
        <v>1439</v>
      </c>
      <c r="H6" s="484" t="s">
        <v>1297</v>
      </c>
      <c r="I6" s="484" t="s">
        <v>1298</v>
      </c>
      <c r="J6" s="484" t="s">
        <v>1439</v>
      </c>
    </row>
    <row r="7" spans="1:10" ht="21.75" customHeight="1" x14ac:dyDescent="0.2">
      <c r="A7" s="340" t="s">
        <v>2297</v>
      </c>
      <c r="B7" s="13"/>
      <c r="C7" s="161"/>
      <c r="D7" s="161"/>
      <c r="E7" s="63"/>
      <c r="F7" s="63"/>
      <c r="G7" s="63"/>
      <c r="H7" s="325">
        <f>SUM(H12:H35)</f>
        <v>17001019</v>
      </c>
      <c r="I7" s="320">
        <f>SUM(I12:I35)</f>
        <v>12285764.740000002</v>
      </c>
      <c r="J7" s="320">
        <f>+I7/H7*100</f>
        <v>72.264872711453364</v>
      </c>
    </row>
    <row r="8" spans="1:10" ht="17.25" customHeight="1" x14ac:dyDescent="0.2">
      <c r="A8" s="721"/>
      <c r="B8" s="722" t="s">
        <v>2296</v>
      </c>
      <c r="C8" s="723"/>
      <c r="D8" s="723"/>
      <c r="E8" s="63"/>
      <c r="F8" s="63"/>
      <c r="G8" s="63"/>
      <c r="H8" s="325">
        <f>+H9</f>
        <v>140335</v>
      </c>
      <c r="I8" s="320">
        <f>+I9</f>
        <v>76508</v>
      </c>
      <c r="J8" s="320">
        <f>+I8/H8*100</f>
        <v>54.518117362026572</v>
      </c>
    </row>
    <row r="9" spans="1:10" ht="21.75" customHeight="1" x14ac:dyDescent="0.2">
      <c r="A9" s="620">
        <v>1</v>
      </c>
      <c r="B9" s="710" t="s">
        <v>1782</v>
      </c>
      <c r="C9" s="296" t="s">
        <v>1783</v>
      </c>
      <c r="D9" s="622" t="s">
        <v>1784</v>
      </c>
      <c r="E9" s="63">
        <v>12</v>
      </c>
      <c r="F9" s="636">
        <v>12</v>
      </c>
      <c r="G9" s="304">
        <f>+F9/E9*100</f>
        <v>100</v>
      </c>
      <c r="H9" s="845">
        <v>140335</v>
      </c>
      <c r="I9" s="847">
        <v>76508</v>
      </c>
      <c r="J9" s="847">
        <f>+I9/H9*100</f>
        <v>54.518117362026572</v>
      </c>
    </row>
    <row r="10" spans="1:10" ht="19.5" customHeight="1" x14ac:dyDescent="0.2">
      <c r="A10" s="719"/>
      <c r="B10" s="340" t="s">
        <v>2295</v>
      </c>
      <c r="C10" s="183"/>
      <c r="D10" s="183"/>
      <c r="E10" s="63"/>
      <c r="F10" s="63"/>
      <c r="G10" s="527"/>
      <c r="H10" s="325">
        <f>+H11</f>
        <v>84415</v>
      </c>
      <c r="I10" s="320">
        <f>+I11</f>
        <v>84414</v>
      </c>
      <c r="J10" s="847"/>
    </row>
    <row r="11" spans="1:10" ht="43.5" customHeight="1" x14ac:dyDescent="0.2">
      <c r="A11" s="43">
        <v>1</v>
      </c>
      <c r="B11" s="832" t="s">
        <v>2304</v>
      </c>
      <c r="C11" s="183" t="s">
        <v>189</v>
      </c>
      <c r="D11" s="183" t="s">
        <v>64</v>
      </c>
      <c r="E11" s="63">
        <v>1</v>
      </c>
      <c r="F11" s="63">
        <v>1</v>
      </c>
      <c r="G11" s="527">
        <f>+F11/E11*100</f>
        <v>100</v>
      </c>
      <c r="H11" s="845">
        <v>84415</v>
      </c>
      <c r="I11" s="847">
        <v>84414</v>
      </c>
      <c r="J11" s="847">
        <f>+I11/H11*100</f>
        <v>99.998815376414143</v>
      </c>
    </row>
    <row r="12" spans="1:10" ht="20.25" customHeight="1" x14ac:dyDescent="0.2">
      <c r="A12" s="465"/>
      <c r="B12" s="340" t="s">
        <v>2298</v>
      </c>
      <c r="C12" s="161"/>
      <c r="D12" s="161"/>
      <c r="E12" s="63"/>
      <c r="F12" s="63"/>
      <c r="G12" s="63"/>
      <c r="H12" s="325">
        <f>SUM(H13:H37)</f>
        <v>10736231</v>
      </c>
      <c r="I12" s="320">
        <f>SUM(I13:I37)</f>
        <v>8036171.7199999997</v>
      </c>
      <c r="J12" s="320">
        <f>+I12/H12*100</f>
        <v>74.850957659163626</v>
      </c>
    </row>
    <row r="13" spans="1:10" s="145" customFormat="1" ht="26.25" customHeight="1" x14ac:dyDescent="0.2">
      <c r="A13" s="1089">
        <v>1</v>
      </c>
      <c r="B13" s="1090" t="s">
        <v>1253</v>
      </c>
      <c r="C13" s="1091" t="s">
        <v>628</v>
      </c>
      <c r="D13" s="626" t="s">
        <v>1258</v>
      </c>
      <c r="E13" s="63">
        <v>10</v>
      </c>
      <c r="F13" s="390">
        <v>10</v>
      </c>
      <c r="G13" s="349">
        <f>+F13/E13*100</f>
        <v>100</v>
      </c>
      <c r="H13" s="978">
        <f>457916+6845</f>
        <v>464761</v>
      </c>
      <c r="I13" s="1006">
        <v>396284.26</v>
      </c>
      <c r="J13" s="1006">
        <f>+I13/H13*100</f>
        <v>85.266246522406135</v>
      </c>
    </row>
    <row r="14" spans="1:10" s="145" customFormat="1" ht="40.5" customHeight="1" x14ac:dyDescent="0.2">
      <c r="A14" s="1089"/>
      <c r="B14" s="1090"/>
      <c r="C14" s="1091"/>
      <c r="D14" s="626" t="s">
        <v>1254</v>
      </c>
      <c r="E14" s="63">
        <v>0.4</v>
      </c>
      <c r="F14" s="390">
        <v>0.4</v>
      </c>
      <c r="G14" s="349">
        <f>+F14/E14*100</f>
        <v>100</v>
      </c>
      <c r="H14" s="978"/>
      <c r="I14" s="1006"/>
      <c r="J14" s="1006"/>
    </row>
    <row r="15" spans="1:10" s="145" customFormat="1" ht="40.5" customHeight="1" x14ac:dyDescent="0.2">
      <c r="A15" s="1089"/>
      <c r="B15" s="1090"/>
      <c r="C15" s="1091"/>
      <c r="D15" s="626" t="s">
        <v>1263</v>
      </c>
      <c r="E15" s="63">
        <v>0.2</v>
      </c>
      <c r="F15" s="390">
        <v>0.2</v>
      </c>
      <c r="G15" s="349">
        <f>+F15/E15*100</f>
        <v>100</v>
      </c>
      <c r="H15" s="978"/>
      <c r="I15" s="1006"/>
      <c r="J15" s="1006"/>
    </row>
    <row r="16" spans="1:10" s="145" customFormat="1" ht="65.25" customHeight="1" x14ac:dyDescent="0.2">
      <c r="A16" s="1089"/>
      <c r="B16" s="1090"/>
      <c r="C16" s="1091"/>
      <c r="D16" s="626" t="s">
        <v>1264</v>
      </c>
      <c r="E16" s="63">
        <v>20</v>
      </c>
      <c r="F16" s="390">
        <v>0</v>
      </c>
      <c r="G16" s="349">
        <f>+F16/E16*100</f>
        <v>0</v>
      </c>
      <c r="H16" s="978"/>
      <c r="I16" s="1006"/>
      <c r="J16" s="1006"/>
    </row>
    <row r="17" spans="1:10" s="145" customFormat="1" ht="24.75" customHeight="1" x14ac:dyDescent="0.2">
      <c r="A17" s="1089">
        <v>2</v>
      </c>
      <c r="B17" s="1090" t="s">
        <v>1255</v>
      </c>
      <c r="C17" s="1091" t="s">
        <v>1055</v>
      </c>
      <c r="D17" s="626" t="s">
        <v>1256</v>
      </c>
      <c r="E17" s="63">
        <v>1</v>
      </c>
      <c r="F17" s="63">
        <v>1</v>
      </c>
      <c r="G17" s="349">
        <f>+F17/E17*100</f>
        <v>100</v>
      </c>
      <c r="H17" s="978">
        <v>26257</v>
      </c>
      <c r="I17" s="1006">
        <v>22257</v>
      </c>
      <c r="J17" s="1006">
        <f>+I17/H17*100</f>
        <v>84.765967170659252</v>
      </c>
    </row>
    <row r="18" spans="1:10" s="145" customFormat="1" ht="15.75" customHeight="1" x14ac:dyDescent="0.2">
      <c r="A18" s="1089"/>
      <c r="B18" s="1090"/>
      <c r="C18" s="1091"/>
      <c r="D18" s="623" t="s">
        <v>192</v>
      </c>
      <c r="E18" s="63">
        <v>1</v>
      </c>
      <c r="F18" s="63">
        <v>0</v>
      </c>
      <c r="G18" s="349">
        <f t="shared" ref="G18:G26" si="0">+F18/E18*100</f>
        <v>0</v>
      </c>
      <c r="H18" s="978"/>
      <c r="I18" s="1006"/>
      <c r="J18" s="1006"/>
    </row>
    <row r="19" spans="1:10" s="145" customFormat="1" ht="23.25" customHeight="1" x14ac:dyDescent="0.2">
      <c r="A19" s="1089">
        <v>3</v>
      </c>
      <c r="B19" s="1090" t="s">
        <v>1528</v>
      </c>
      <c r="C19" s="1091" t="s">
        <v>628</v>
      </c>
      <c r="D19" s="626" t="s">
        <v>1258</v>
      </c>
      <c r="E19" s="63">
        <v>201</v>
      </c>
      <c r="F19" s="63">
        <v>0</v>
      </c>
      <c r="G19" s="349">
        <f t="shared" si="0"/>
        <v>0</v>
      </c>
      <c r="H19" s="978">
        <f>2188061+1138837</f>
        <v>3326898</v>
      </c>
      <c r="I19" s="1006">
        <f>1691196.45+1006158.73</f>
        <v>2697355.1799999997</v>
      </c>
      <c r="J19" s="1006">
        <f>+I19/H19*100</f>
        <v>81.077183009518166</v>
      </c>
    </row>
    <row r="20" spans="1:10" s="145" customFormat="1" ht="22.5" customHeight="1" x14ac:dyDescent="0.2">
      <c r="A20" s="1089"/>
      <c r="B20" s="1090"/>
      <c r="C20" s="1091"/>
      <c r="D20" s="622" t="s">
        <v>1265</v>
      </c>
      <c r="E20" s="63">
        <v>2.12</v>
      </c>
      <c r="F20" s="636">
        <v>2.12</v>
      </c>
      <c r="G20" s="349">
        <f t="shared" si="0"/>
        <v>100</v>
      </c>
      <c r="H20" s="978"/>
      <c r="I20" s="1006"/>
      <c r="J20" s="1006"/>
    </row>
    <row r="21" spans="1:10" s="145" customFormat="1" ht="26.25" customHeight="1" x14ac:dyDescent="0.2">
      <c r="A21" s="1089"/>
      <c r="B21" s="1090"/>
      <c r="C21" s="1091"/>
      <c r="D21" s="622" t="s">
        <v>1266</v>
      </c>
      <c r="E21" s="63">
        <v>19</v>
      </c>
      <c r="F21" s="636">
        <v>0</v>
      </c>
      <c r="G21" s="349">
        <f t="shared" si="0"/>
        <v>0</v>
      </c>
      <c r="H21" s="978"/>
      <c r="I21" s="1006"/>
      <c r="J21" s="1006"/>
    </row>
    <row r="22" spans="1:10" s="145" customFormat="1" ht="26.25" customHeight="1" x14ac:dyDescent="0.2">
      <c r="A22" s="1089"/>
      <c r="B22" s="1090"/>
      <c r="C22" s="1091"/>
      <c r="D22" s="622" t="s">
        <v>1257</v>
      </c>
      <c r="E22" s="63">
        <v>1</v>
      </c>
      <c r="F22" s="636">
        <v>1</v>
      </c>
      <c r="G22" s="349">
        <f t="shared" si="0"/>
        <v>100</v>
      </c>
      <c r="H22" s="978"/>
      <c r="I22" s="1006"/>
      <c r="J22" s="1006"/>
    </row>
    <row r="23" spans="1:10" s="145" customFormat="1" ht="23.25" customHeight="1" x14ac:dyDescent="0.2">
      <c r="A23" s="1089"/>
      <c r="B23" s="1090"/>
      <c r="C23" s="1091"/>
      <c r="D23" s="622" t="s">
        <v>1259</v>
      </c>
      <c r="E23" s="63">
        <v>2</v>
      </c>
      <c r="F23" s="636">
        <v>2</v>
      </c>
      <c r="G23" s="349">
        <f t="shared" si="0"/>
        <v>100</v>
      </c>
      <c r="H23" s="978"/>
      <c r="I23" s="1006"/>
      <c r="J23" s="1006"/>
    </row>
    <row r="24" spans="1:10" s="145" customFormat="1" ht="36" customHeight="1" x14ac:dyDescent="0.2">
      <c r="A24" s="620">
        <v>4</v>
      </c>
      <c r="B24" s="621" t="s">
        <v>1529</v>
      </c>
      <c r="C24" s="623" t="s">
        <v>629</v>
      </c>
      <c r="D24" s="183" t="s">
        <v>64</v>
      </c>
      <c r="E24" s="63">
        <v>1</v>
      </c>
      <c r="F24" s="636">
        <v>1</v>
      </c>
      <c r="G24" s="349">
        <f t="shared" si="0"/>
        <v>100</v>
      </c>
      <c r="H24" s="845">
        <v>92820</v>
      </c>
      <c r="I24" s="847">
        <v>92819.55</v>
      </c>
      <c r="J24" s="847">
        <f t="shared" ref="J24:J31" si="1">+I24/H24*100</f>
        <v>99.999515190691667</v>
      </c>
    </row>
    <row r="25" spans="1:10" s="145" customFormat="1" ht="29.25" customHeight="1" x14ac:dyDescent="0.2">
      <c r="A25" s="620">
        <v>5</v>
      </c>
      <c r="B25" s="604" t="s">
        <v>1530</v>
      </c>
      <c r="C25" s="623" t="s">
        <v>1593</v>
      </c>
      <c r="D25" s="183" t="s">
        <v>64</v>
      </c>
      <c r="E25" s="63"/>
      <c r="F25" s="636"/>
      <c r="G25" s="636"/>
      <c r="H25" s="845">
        <v>74371</v>
      </c>
      <c r="I25" s="847">
        <v>74370.41</v>
      </c>
      <c r="J25" s="847">
        <f t="shared" si="1"/>
        <v>99.999206680023136</v>
      </c>
    </row>
    <row r="26" spans="1:10" s="145" customFormat="1" ht="42" customHeight="1" x14ac:dyDescent="0.2">
      <c r="A26" s="620">
        <v>6</v>
      </c>
      <c r="B26" s="604" t="s">
        <v>1531</v>
      </c>
      <c r="C26" s="623" t="s">
        <v>1593</v>
      </c>
      <c r="D26" s="183" t="s">
        <v>64</v>
      </c>
      <c r="E26" s="63">
        <v>1</v>
      </c>
      <c r="F26" s="636">
        <v>1</v>
      </c>
      <c r="G26" s="349">
        <f t="shared" si="0"/>
        <v>100</v>
      </c>
      <c r="H26" s="845">
        <v>80940</v>
      </c>
      <c r="I26" s="847">
        <v>80820</v>
      </c>
      <c r="J26" s="847">
        <f t="shared" si="1"/>
        <v>99.851742031134165</v>
      </c>
    </row>
    <row r="27" spans="1:10" s="145" customFormat="1" ht="45.75" customHeight="1" x14ac:dyDescent="0.2">
      <c r="A27" s="620">
        <v>7</v>
      </c>
      <c r="B27" s="604" t="s">
        <v>1532</v>
      </c>
      <c r="C27" s="623" t="s">
        <v>1593</v>
      </c>
      <c r="D27" s="183" t="s">
        <v>64</v>
      </c>
      <c r="E27" s="63"/>
      <c r="F27" s="636"/>
      <c r="G27" s="636"/>
      <c r="H27" s="845">
        <v>72505</v>
      </c>
      <c r="I27" s="847">
        <v>72471.070000000007</v>
      </c>
      <c r="J27" s="847">
        <f t="shared" si="1"/>
        <v>99.953203227363645</v>
      </c>
    </row>
    <row r="28" spans="1:10" s="145" customFormat="1" ht="41.25" customHeight="1" x14ac:dyDescent="0.2">
      <c r="A28" s="43">
        <v>8</v>
      </c>
      <c r="B28" s="604" t="s">
        <v>1533</v>
      </c>
      <c r="C28" s="296" t="s">
        <v>1046</v>
      </c>
      <c r="D28" s="183" t="s">
        <v>64</v>
      </c>
      <c r="E28" s="63">
        <v>1</v>
      </c>
      <c r="F28" s="636">
        <v>1</v>
      </c>
      <c r="G28" s="304">
        <f>+F28/E28*100</f>
        <v>100</v>
      </c>
      <c r="H28" s="845">
        <v>109997</v>
      </c>
      <c r="I28" s="847">
        <v>105850.16</v>
      </c>
      <c r="J28" s="847">
        <f t="shared" si="1"/>
        <v>96.230042637526481</v>
      </c>
    </row>
    <row r="29" spans="1:10" s="145" customFormat="1" ht="29.25" customHeight="1" x14ac:dyDescent="0.2">
      <c r="A29" s="620">
        <v>9</v>
      </c>
      <c r="B29" s="604" t="s">
        <v>1534</v>
      </c>
      <c r="C29" s="296" t="s">
        <v>1049</v>
      </c>
      <c r="D29" s="183" t="s">
        <v>64</v>
      </c>
      <c r="E29" s="63">
        <v>1</v>
      </c>
      <c r="F29" s="636">
        <v>1</v>
      </c>
      <c r="G29" s="304">
        <f>+F29/E29*100</f>
        <v>100</v>
      </c>
      <c r="H29" s="845">
        <v>104580</v>
      </c>
      <c r="I29" s="847">
        <v>98171.489999999991</v>
      </c>
      <c r="J29" s="847">
        <f t="shared" si="1"/>
        <v>93.872145725760163</v>
      </c>
    </row>
    <row r="30" spans="1:10" s="145" customFormat="1" ht="44.25" customHeight="1" x14ac:dyDescent="0.2">
      <c r="A30" s="43">
        <v>15</v>
      </c>
      <c r="B30" s="604" t="s">
        <v>1535</v>
      </c>
      <c r="C30" s="296" t="s">
        <v>40</v>
      </c>
      <c r="D30" s="161"/>
      <c r="E30" s="63"/>
      <c r="F30" s="636"/>
      <c r="G30" s="636"/>
      <c r="H30" s="845">
        <v>796105</v>
      </c>
      <c r="I30" s="847">
        <v>340631.22000000003</v>
      </c>
      <c r="J30" s="847">
        <f t="shared" si="1"/>
        <v>42.787222790963511</v>
      </c>
    </row>
    <row r="31" spans="1:10" s="145" customFormat="1" ht="39.75" customHeight="1" x14ac:dyDescent="0.2">
      <c r="A31" s="43">
        <v>16</v>
      </c>
      <c r="B31" s="604" t="s">
        <v>1536</v>
      </c>
      <c r="C31" s="296" t="s">
        <v>46</v>
      </c>
      <c r="D31" s="183" t="s">
        <v>64</v>
      </c>
      <c r="E31" s="63">
        <v>1</v>
      </c>
      <c r="F31" s="636"/>
      <c r="G31" s="636"/>
      <c r="H31" s="845">
        <v>85654</v>
      </c>
      <c r="I31" s="847">
        <v>15154.68</v>
      </c>
      <c r="J31" s="847">
        <f t="shared" si="1"/>
        <v>17.692904009153104</v>
      </c>
    </row>
    <row r="32" spans="1:10" s="145" customFormat="1" ht="39.75" customHeight="1" x14ac:dyDescent="0.2">
      <c r="A32" s="43">
        <v>19</v>
      </c>
      <c r="B32" s="604" t="s">
        <v>2276</v>
      </c>
      <c r="C32" s="296" t="s">
        <v>631</v>
      </c>
      <c r="D32" s="183" t="s">
        <v>64</v>
      </c>
      <c r="E32" s="63"/>
      <c r="F32" s="636"/>
      <c r="G32" s="636"/>
      <c r="H32" s="845">
        <v>87813</v>
      </c>
      <c r="I32" s="847">
        <v>0</v>
      </c>
      <c r="J32" s="847"/>
    </row>
    <row r="33" spans="1:10" s="145" customFormat="1" ht="54" customHeight="1" x14ac:dyDescent="0.2">
      <c r="A33" s="620">
        <v>20</v>
      </c>
      <c r="B33" s="604" t="s">
        <v>1544</v>
      </c>
      <c r="C33" s="296" t="s">
        <v>1077</v>
      </c>
      <c r="D33" s="183" t="s">
        <v>64</v>
      </c>
      <c r="E33" s="63"/>
      <c r="F33" s="636"/>
      <c r="G33" s="636"/>
      <c r="H33" s="845">
        <f>474579+266577</f>
        <v>741156</v>
      </c>
      <c r="I33" s="847">
        <v>208002</v>
      </c>
      <c r="J33" s="847">
        <f>+I33/H33*100</f>
        <v>28.064537020546283</v>
      </c>
    </row>
    <row r="34" spans="1:10" s="145" customFormat="1" ht="39.75" customHeight="1" x14ac:dyDescent="0.2">
      <c r="A34" s="43">
        <v>21</v>
      </c>
      <c r="B34" s="604" t="s">
        <v>1785</v>
      </c>
      <c r="C34" s="296" t="s">
        <v>1185</v>
      </c>
      <c r="D34" s="183" t="s">
        <v>64</v>
      </c>
      <c r="E34" s="63"/>
      <c r="F34" s="636"/>
      <c r="G34" s="636"/>
      <c r="H34" s="845">
        <v>99415</v>
      </c>
      <c r="I34" s="847">
        <v>0</v>
      </c>
      <c r="J34" s="847"/>
    </row>
    <row r="35" spans="1:10" s="145" customFormat="1" ht="51.75" customHeight="1" x14ac:dyDescent="0.2">
      <c r="A35" s="620">
        <v>22</v>
      </c>
      <c r="B35" s="604" t="s">
        <v>1543</v>
      </c>
      <c r="C35" s="296" t="s">
        <v>631</v>
      </c>
      <c r="D35" s="183" t="s">
        <v>64</v>
      </c>
      <c r="E35" s="63">
        <v>1</v>
      </c>
      <c r="F35" s="63">
        <v>0.5</v>
      </c>
      <c r="G35" s="304">
        <f>+F35/E35*100</f>
        <v>50</v>
      </c>
      <c r="H35" s="845">
        <v>101516</v>
      </c>
      <c r="I35" s="847">
        <v>45406</v>
      </c>
      <c r="J35" s="847">
        <f t="shared" ref="J35:J41" si="2">+I35/H35*100</f>
        <v>44.727924662122227</v>
      </c>
    </row>
    <row r="36" spans="1:10" s="145" customFormat="1" ht="29.25" customHeight="1" x14ac:dyDescent="0.2">
      <c r="A36" s="43">
        <v>23</v>
      </c>
      <c r="B36" s="604" t="s">
        <v>1542</v>
      </c>
      <c r="C36" s="296" t="s">
        <v>46</v>
      </c>
      <c r="D36" s="623" t="s">
        <v>1278</v>
      </c>
      <c r="E36" s="63"/>
      <c r="F36" s="636"/>
      <c r="G36" s="636"/>
      <c r="H36" s="845">
        <f>28955+449442</f>
        <v>478397</v>
      </c>
      <c r="I36" s="847">
        <v>449442</v>
      </c>
      <c r="J36" s="847">
        <f t="shared" si="2"/>
        <v>93.947495490147304</v>
      </c>
    </row>
    <row r="37" spans="1:10" s="145" customFormat="1" ht="23.25" customHeight="1" x14ac:dyDescent="0.2">
      <c r="A37" s="43">
        <v>24</v>
      </c>
      <c r="B37" s="19" t="s">
        <v>1526</v>
      </c>
      <c r="C37" s="183" t="s">
        <v>628</v>
      </c>
      <c r="D37" s="183" t="s">
        <v>1278</v>
      </c>
      <c r="E37" s="63">
        <v>1</v>
      </c>
      <c r="F37" s="63">
        <v>1</v>
      </c>
      <c r="G37" s="527">
        <f>+F37/E37*100</f>
        <v>100</v>
      </c>
      <c r="H37" s="845">
        <v>3993046</v>
      </c>
      <c r="I37" s="847">
        <v>3337136.7</v>
      </c>
      <c r="J37" s="847">
        <f t="shared" si="2"/>
        <v>83.57371039552261</v>
      </c>
    </row>
    <row r="38" spans="1:10" s="145" customFormat="1" ht="19.5" customHeight="1" x14ac:dyDescent="0.2">
      <c r="A38" s="340" t="s">
        <v>2299</v>
      </c>
      <c r="B38" s="13"/>
      <c r="C38" s="161"/>
      <c r="D38" s="161"/>
      <c r="E38" s="63"/>
      <c r="F38" s="63"/>
      <c r="G38" s="63"/>
      <c r="H38" s="325">
        <f>SUM(H39:H40)</f>
        <v>3050300</v>
      </c>
      <c r="I38" s="320">
        <f>SUM(I39:I40)</f>
        <v>654595.65</v>
      </c>
      <c r="J38" s="320">
        <f t="shared" si="2"/>
        <v>21.460041635248992</v>
      </c>
    </row>
    <row r="39" spans="1:10" s="145" customFormat="1" ht="27.75" customHeight="1" x14ac:dyDescent="0.2">
      <c r="A39" s="43">
        <v>1</v>
      </c>
      <c r="B39" s="604" t="s">
        <v>1522</v>
      </c>
      <c r="C39" s="183" t="s">
        <v>1049</v>
      </c>
      <c r="D39" s="183" t="s">
        <v>1280</v>
      </c>
      <c r="E39" s="63">
        <v>1.1399999999999999</v>
      </c>
      <c r="F39" s="63">
        <v>0.48099999999999998</v>
      </c>
      <c r="G39" s="527">
        <f>+F39/E39*100</f>
        <v>42.192982456140356</v>
      </c>
      <c r="H39" s="845">
        <v>2620000</v>
      </c>
      <c r="I39" s="847">
        <v>631899.02</v>
      </c>
      <c r="J39" s="847">
        <f t="shared" si="2"/>
        <v>24.118283206106874</v>
      </c>
    </row>
    <row r="40" spans="1:10" s="145" customFormat="1" ht="27" customHeight="1" x14ac:dyDescent="0.2">
      <c r="A40" s="620">
        <v>2</v>
      </c>
      <c r="B40" s="19" t="s">
        <v>1592</v>
      </c>
      <c r="C40" s="623" t="s">
        <v>46</v>
      </c>
      <c r="D40" s="623"/>
      <c r="E40" s="63"/>
      <c r="F40" s="636"/>
      <c r="G40" s="636"/>
      <c r="H40" s="845">
        <f>430000+300</f>
        <v>430300</v>
      </c>
      <c r="I40" s="847">
        <f>22400+296.63</f>
        <v>22696.63</v>
      </c>
      <c r="J40" s="847">
        <f t="shared" si="2"/>
        <v>5.2746060887752728</v>
      </c>
    </row>
    <row r="41" spans="1:10" ht="18.75" customHeight="1" x14ac:dyDescent="0.2">
      <c r="A41" s="340" t="s">
        <v>1024</v>
      </c>
      <c r="B41" s="13"/>
      <c r="C41" s="161"/>
      <c r="D41" s="161"/>
      <c r="E41" s="488"/>
      <c r="F41" s="616"/>
      <c r="G41" s="616"/>
      <c r="H41" s="325">
        <f>SUM(H42:H44)</f>
        <v>512200</v>
      </c>
      <c r="I41" s="320">
        <f>SUM(I42:I44)</f>
        <v>354780.28</v>
      </c>
      <c r="J41" s="320">
        <f t="shared" si="2"/>
        <v>69.265966419367444</v>
      </c>
    </row>
    <row r="42" spans="1:10" ht="28.5" customHeight="1" x14ac:dyDescent="0.2">
      <c r="A42" s="43">
        <v>1</v>
      </c>
      <c r="B42" s="19" t="s">
        <v>2277</v>
      </c>
      <c r="C42" s="183" t="s">
        <v>168</v>
      </c>
      <c r="D42" s="183" t="s">
        <v>192</v>
      </c>
      <c r="E42" s="63"/>
      <c r="F42" s="594"/>
      <c r="G42" s="594"/>
      <c r="H42" s="16">
        <v>114598</v>
      </c>
      <c r="I42" s="42">
        <v>91230.28</v>
      </c>
      <c r="J42" s="42">
        <f>+I42/H42*100</f>
        <v>79.608963507216529</v>
      </c>
    </row>
    <row r="43" spans="1:10" ht="23.25" customHeight="1" x14ac:dyDescent="0.2">
      <c r="A43" s="43">
        <v>2</v>
      </c>
      <c r="B43" s="485" t="s">
        <v>451</v>
      </c>
      <c r="C43" s="183" t="s">
        <v>168</v>
      </c>
      <c r="D43" s="183" t="s">
        <v>192</v>
      </c>
      <c r="E43" s="63"/>
      <c r="F43" s="594"/>
      <c r="G43" s="594"/>
      <c r="H43" s="16">
        <f>73000+61052</f>
        <v>134052</v>
      </c>
      <c r="I43" s="42">
        <v>0</v>
      </c>
      <c r="J43" s="42">
        <v>0</v>
      </c>
    </row>
    <row r="44" spans="1:10" ht="42" customHeight="1" x14ac:dyDescent="0.2">
      <c r="A44" s="620">
        <v>3</v>
      </c>
      <c r="B44" s="701" t="s">
        <v>2258</v>
      </c>
      <c r="C44" s="183" t="s">
        <v>168</v>
      </c>
      <c r="D44" s="183"/>
      <c r="E44" s="63"/>
      <c r="F44" s="63"/>
      <c r="G44" s="63"/>
      <c r="H44" s="16">
        <v>263550</v>
      </c>
      <c r="I44" s="42">
        <v>263550</v>
      </c>
      <c r="J44" s="42">
        <f>+I44/H44*100</f>
        <v>100</v>
      </c>
    </row>
    <row r="45" spans="1:10" ht="19.5" customHeight="1" x14ac:dyDescent="0.2">
      <c r="A45" s="340" t="s">
        <v>1028</v>
      </c>
      <c r="B45" s="13"/>
      <c r="C45" s="161"/>
      <c r="D45" s="161"/>
      <c r="E45" s="488"/>
      <c r="F45" s="488"/>
      <c r="G45" s="488"/>
      <c r="H45" s="325">
        <f>SUM(H46:H46)</f>
        <v>2173114</v>
      </c>
      <c r="I45" s="320">
        <f>SUM(I46:I46)</f>
        <v>2110319.58</v>
      </c>
      <c r="J45" s="320">
        <f>+I45/H45*100</f>
        <v>97.110394576630583</v>
      </c>
    </row>
    <row r="46" spans="1:10" ht="27.75" customHeight="1" x14ac:dyDescent="0.2">
      <c r="A46" s="43">
        <v>1</v>
      </c>
      <c r="B46" s="604" t="s">
        <v>1584</v>
      </c>
      <c r="C46" s="183" t="s">
        <v>189</v>
      </c>
      <c r="D46" s="161"/>
      <c r="E46" s="488"/>
      <c r="F46" s="616"/>
      <c r="G46" s="616"/>
      <c r="H46" s="16">
        <v>2173114</v>
      </c>
      <c r="I46" s="42">
        <v>2110319.58</v>
      </c>
      <c r="J46" s="42">
        <f t="shared" ref="J46" si="3">+I46/H46*100</f>
        <v>97.110394576630583</v>
      </c>
    </row>
    <row r="47" spans="1:10" ht="20.25" customHeight="1" x14ac:dyDescent="0.2">
      <c r="A47" s="340" t="s">
        <v>2028</v>
      </c>
      <c r="B47" s="465"/>
      <c r="C47" s="161"/>
      <c r="D47" s="161"/>
      <c r="E47" s="286"/>
      <c r="F47" s="286"/>
      <c r="G47" s="488"/>
      <c r="H47" s="689">
        <f>+H48</f>
        <v>7010</v>
      </c>
      <c r="I47" s="720">
        <f>+I48</f>
        <v>3000</v>
      </c>
      <c r="J47" s="13"/>
    </row>
    <row r="48" spans="1:10" ht="51" x14ac:dyDescent="0.2">
      <c r="A48" s="43">
        <v>1</v>
      </c>
      <c r="B48" s="604" t="s">
        <v>1579</v>
      </c>
      <c r="C48" s="183" t="s">
        <v>170</v>
      </c>
      <c r="D48" s="183" t="s">
        <v>64</v>
      </c>
      <c r="E48" s="286"/>
      <c r="F48" s="286"/>
      <c r="G48" s="161"/>
      <c r="H48" s="615">
        <v>7010</v>
      </c>
      <c r="I48" s="42">
        <v>3000</v>
      </c>
      <c r="J48" s="527">
        <f>+I48/H48*100</f>
        <v>42.796005706134096</v>
      </c>
    </row>
    <row r="49" spans="1:5" x14ac:dyDescent="0.2">
      <c r="A49" s="3"/>
      <c r="C49" s="3"/>
      <c r="E49" s="3"/>
    </row>
    <row r="50" spans="1:5" x14ac:dyDescent="0.2">
      <c r="A50" s="3"/>
      <c r="C50" s="3"/>
      <c r="E50" s="3"/>
    </row>
    <row r="51" spans="1:5" x14ac:dyDescent="0.2">
      <c r="A51" s="3"/>
      <c r="C51" s="3"/>
      <c r="E51" s="3"/>
    </row>
    <row r="52" spans="1:5" x14ac:dyDescent="0.2">
      <c r="A52" s="3"/>
      <c r="C52" s="3"/>
      <c r="E52" s="3"/>
    </row>
    <row r="53" spans="1:5" x14ac:dyDescent="0.2">
      <c r="A53" s="3"/>
      <c r="C53" s="3"/>
      <c r="E53" s="3"/>
    </row>
    <row r="54" spans="1:5" x14ac:dyDescent="0.2">
      <c r="A54" s="3"/>
      <c r="C54" s="3"/>
      <c r="E54" s="3"/>
    </row>
    <row r="55" spans="1:5" x14ac:dyDescent="0.2">
      <c r="A55" s="3"/>
      <c r="C55" s="3"/>
      <c r="E55" s="3"/>
    </row>
    <row r="56" spans="1:5" x14ac:dyDescent="0.2">
      <c r="A56" s="3"/>
      <c r="C56" s="3"/>
      <c r="E56" s="3"/>
    </row>
    <row r="57" spans="1:5" x14ac:dyDescent="0.2">
      <c r="A57" s="3"/>
      <c r="C57" s="3"/>
      <c r="E57" s="3"/>
    </row>
    <row r="58" spans="1:5" x14ac:dyDescent="0.2">
      <c r="A58" s="3"/>
      <c r="C58" s="3"/>
      <c r="E58" s="3"/>
    </row>
    <row r="59" spans="1:5" x14ac:dyDescent="0.2">
      <c r="A59" s="3"/>
      <c r="C59" s="3"/>
      <c r="E59" s="3"/>
    </row>
    <row r="60" spans="1:5" x14ac:dyDescent="0.2">
      <c r="A60" s="3"/>
      <c r="C60" s="3"/>
      <c r="E60" s="3"/>
    </row>
    <row r="61" spans="1:5" x14ac:dyDescent="0.2">
      <c r="A61" s="3"/>
      <c r="C61" s="3"/>
      <c r="E61" s="3"/>
    </row>
    <row r="62" spans="1:5" x14ac:dyDescent="0.2">
      <c r="A62" s="3"/>
      <c r="C62" s="3"/>
      <c r="E62" s="3"/>
    </row>
    <row r="63" spans="1:5" x14ac:dyDescent="0.2">
      <c r="A63" s="3"/>
      <c r="C63" s="3"/>
      <c r="E63" s="3"/>
    </row>
    <row r="64" spans="1:5" x14ac:dyDescent="0.2">
      <c r="A64" s="3"/>
      <c r="C64" s="3"/>
      <c r="E64" s="3"/>
    </row>
  </sheetData>
  <mergeCells count="26">
    <mergeCell ref="D5:G5"/>
    <mergeCell ref="H5:J5"/>
    <mergeCell ref="A3:J3"/>
    <mergeCell ref="A4:J4"/>
    <mergeCell ref="A13:A16"/>
    <mergeCell ref="B13:B16"/>
    <mergeCell ref="C13:C16"/>
    <mergeCell ref="H13:H16"/>
    <mergeCell ref="I13:I16"/>
    <mergeCell ref="J13:J16"/>
    <mergeCell ref="A2:B2"/>
    <mergeCell ref="A5:A6"/>
    <mergeCell ref="B5:B6"/>
    <mergeCell ref="C5:C6"/>
    <mergeCell ref="B17:B18"/>
    <mergeCell ref="C17:C18"/>
    <mergeCell ref="I17:I18"/>
    <mergeCell ref="J17:J18"/>
    <mergeCell ref="H17:H18"/>
    <mergeCell ref="A19:A23"/>
    <mergeCell ref="B19:B23"/>
    <mergeCell ref="C19:C23"/>
    <mergeCell ref="H19:H23"/>
    <mergeCell ref="A17:A18"/>
    <mergeCell ref="I19:I23"/>
    <mergeCell ref="J19:J23"/>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79998168889431442"/>
  </sheetPr>
  <dimension ref="A2:IF188"/>
  <sheetViews>
    <sheetView showZeros="0" view="pageBreakPreview" zoomScale="60" zoomScaleNormal="100" workbookViewId="0">
      <selection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10.42578125" style="3" customWidth="1"/>
    <col min="11" max="16384" width="11.42578125" style="3"/>
  </cols>
  <sheetData>
    <row r="2" spans="1:66" ht="18" customHeight="1" x14ac:dyDescent="0.2">
      <c r="A2" s="982" t="s">
        <v>27</v>
      </c>
      <c r="B2" s="983"/>
      <c r="C2" s="1"/>
      <c r="D2" s="150"/>
      <c r="E2" s="269"/>
      <c r="F2" s="150"/>
      <c r="G2" s="150"/>
      <c r="H2" s="271"/>
      <c r="I2" s="271"/>
      <c r="J2" s="2"/>
    </row>
    <row r="3" spans="1:66" ht="26.25" customHeight="1" x14ac:dyDescent="0.2">
      <c r="A3" s="987" t="s">
        <v>26</v>
      </c>
      <c r="B3" s="988"/>
      <c r="C3" s="988"/>
      <c r="D3" s="988"/>
      <c r="E3" s="988"/>
      <c r="F3" s="988"/>
      <c r="G3" s="988"/>
      <c r="H3" s="988"/>
      <c r="I3" s="988"/>
      <c r="J3" s="989"/>
    </row>
    <row r="4" spans="1:66" ht="25.5" customHeight="1" x14ac:dyDescent="0.2">
      <c r="A4" s="987" t="s">
        <v>1290</v>
      </c>
      <c r="B4" s="988"/>
      <c r="C4" s="988"/>
      <c r="D4" s="988"/>
      <c r="E4" s="988"/>
      <c r="F4" s="988"/>
      <c r="G4" s="988"/>
      <c r="H4" s="988"/>
      <c r="I4" s="988"/>
      <c r="J4" s="989"/>
    </row>
    <row r="5" spans="1:66" ht="18" customHeight="1" x14ac:dyDescent="0.2">
      <c r="A5" s="1007" t="s">
        <v>0</v>
      </c>
      <c r="B5" s="1007" t="s">
        <v>1</v>
      </c>
      <c r="C5" s="984" t="s">
        <v>2</v>
      </c>
      <c r="D5" s="990" t="s">
        <v>1440</v>
      </c>
      <c r="E5" s="990"/>
      <c r="F5" s="990"/>
      <c r="G5" s="990"/>
      <c r="H5" s="990" t="s">
        <v>1441</v>
      </c>
      <c r="I5" s="990"/>
      <c r="J5" s="990"/>
    </row>
    <row r="6" spans="1:66" ht="24" customHeight="1" x14ac:dyDescent="0.2">
      <c r="A6" s="1008"/>
      <c r="B6" s="1008"/>
      <c r="C6" s="984"/>
      <c r="D6" s="4" t="s">
        <v>3</v>
      </c>
      <c r="E6" s="4" t="s">
        <v>4</v>
      </c>
      <c r="F6" s="270" t="s">
        <v>1298</v>
      </c>
      <c r="G6" s="270" t="s">
        <v>1439</v>
      </c>
      <c r="H6" s="4" t="s">
        <v>1297</v>
      </c>
      <c r="I6" s="270" t="s">
        <v>1298</v>
      </c>
      <c r="J6" s="270" t="s">
        <v>1439</v>
      </c>
    </row>
    <row r="7" spans="1:66" ht="18" customHeight="1" x14ac:dyDescent="0.2">
      <c r="A7" s="1106" t="s">
        <v>1171</v>
      </c>
      <c r="B7" s="1107"/>
      <c r="C7" s="80"/>
      <c r="D7" s="80"/>
      <c r="E7" s="81"/>
      <c r="F7" s="81"/>
      <c r="G7" s="81"/>
      <c r="H7" s="67">
        <f>+H8</f>
        <v>4947410</v>
      </c>
      <c r="I7" s="81">
        <f>+I8</f>
        <v>3219755.24</v>
      </c>
      <c r="J7" s="81">
        <f>+I7/H7*100</f>
        <v>65.079612160706318</v>
      </c>
      <c r="K7" s="90"/>
    </row>
    <row r="8" spans="1:66" ht="25.5" customHeight="1" x14ac:dyDescent="0.2">
      <c r="A8" s="139">
        <v>1</v>
      </c>
      <c r="B8" s="75" t="s">
        <v>1109</v>
      </c>
      <c r="C8" s="79"/>
      <c r="D8" s="79"/>
      <c r="E8" s="796"/>
      <c r="F8" s="796"/>
      <c r="G8" s="796"/>
      <c r="H8" s="67">
        <f>+H9+H10+H11+H69+H75</f>
        <v>4947410</v>
      </c>
      <c r="I8" s="81">
        <f>+I9+I11+I69+I75</f>
        <v>3219755.24</v>
      </c>
      <c r="J8" s="81">
        <f>+I8/H8*100</f>
        <v>65.079612160706318</v>
      </c>
    </row>
    <row r="9" spans="1:66" s="140" customFormat="1" ht="24.75" customHeight="1" x14ac:dyDescent="0.25">
      <c r="A9" s="724">
        <v>1.1000000000000001</v>
      </c>
      <c r="B9" s="15" t="s">
        <v>1110</v>
      </c>
      <c r="C9" s="614" t="s">
        <v>40</v>
      </c>
      <c r="D9" s="725" t="s">
        <v>614</v>
      </c>
      <c r="E9" s="729">
        <v>12</v>
      </c>
      <c r="F9" s="729"/>
      <c r="G9" s="729"/>
      <c r="H9" s="37">
        <v>373232</v>
      </c>
      <c r="I9" s="273">
        <v>373232</v>
      </c>
      <c r="J9" s="273">
        <f>+I9/H9*100</f>
        <v>100</v>
      </c>
    </row>
    <row r="10" spans="1:66" s="140" customFormat="1" ht="24.75" customHeight="1" x14ac:dyDescent="0.25">
      <c r="A10" s="724">
        <v>1.2</v>
      </c>
      <c r="B10" s="15" t="s">
        <v>98</v>
      </c>
      <c r="C10" s="614" t="s">
        <v>40</v>
      </c>
      <c r="D10" s="725" t="s">
        <v>614</v>
      </c>
      <c r="E10" s="729">
        <v>12</v>
      </c>
      <c r="F10" s="729"/>
      <c r="G10" s="729"/>
      <c r="H10" s="37">
        <v>868740</v>
      </c>
      <c r="I10" s="273">
        <v>849546</v>
      </c>
      <c r="J10" s="273">
        <f>+I10/H10*100</f>
        <v>97.790593273016086</v>
      </c>
    </row>
    <row r="11" spans="1:66" s="135" customFormat="1" ht="18.75" customHeight="1" x14ac:dyDescent="0.2">
      <c r="A11" s="531"/>
      <c r="B11" s="35" t="s">
        <v>1111</v>
      </c>
      <c r="C11" s="168"/>
      <c r="D11" s="168"/>
      <c r="E11" s="486"/>
      <c r="F11" s="486"/>
      <c r="G11" s="306"/>
      <c r="H11" s="41">
        <f>SUM(H12:H68)</f>
        <v>306329</v>
      </c>
      <c r="I11" s="306">
        <f>SUM(I12:I68)</f>
        <v>220739</v>
      </c>
      <c r="J11" s="306">
        <f>+I11/H11*100</f>
        <v>72.059452418804611</v>
      </c>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row>
    <row r="12" spans="1:66" s="134" customFormat="1" ht="14.25" customHeight="1" x14ac:dyDescent="0.25">
      <c r="A12" s="1103">
        <v>1</v>
      </c>
      <c r="B12" s="1030" t="s">
        <v>1112</v>
      </c>
      <c r="C12" s="614" t="s">
        <v>40</v>
      </c>
      <c r="D12" s="607" t="s">
        <v>536</v>
      </c>
      <c r="E12" s="876">
        <v>8</v>
      </c>
      <c r="F12" s="877">
        <v>7</v>
      </c>
      <c r="G12" s="273">
        <f>+F12/E12*100</f>
        <v>87.5</v>
      </c>
      <c r="H12" s="729">
        <v>600</v>
      </c>
      <c r="I12" s="730">
        <v>600</v>
      </c>
      <c r="J12" s="273">
        <f t="shared" ref="J12:J68" si="0">+I12/H12*100</f>
        <v>100</v>
      </c>
    </row>
    <row r="13" spans="1:66" s="134" customFormat="1" ht="14.25" customHeight="1" x14ac:dyDescent="0.25">
      <c r="A13" s="1104"/>
      <c r="B13" s="1030"/>
      <c r="C13" s="614" t="s">
        <v>40</v>
      </c>
      <c r="D13" s="607" t="s">
        <v>543</v>
      </c>
      <c r="E13" s="876">
        <v>1</v>
      </c>
      <c r="F13" s="877">
        <v>1</v>
      </c>
      <c r="G13" s="273">
        <f t="shared" ref="G13:G74" si="1">+F13/E13*100</f>
        <v>100</v>
      </c>
      <c r="H13" s="729">
        <v>2220</v>
      </c>
      <c r="I13" s="730">
        <v>2220</v>
      </c>
      <c r="J13" s="273">
        <f t="shared" si="0"/>
        <v>100</v>
      </c>
    </row>
    <row r="14" spans="1:66" s="134" customFormat="1" ht="40.5" customHeight="1" x14ac:dyDescent="0.25">
      <c r="A14" s="1104"/>
      <c r="B14" s="1030"/>
      <c r="C14" s="614" t="s">
        <v>40</v>
      </c>
      <c r="D14" s="607" t="s">
        <v>1113</v>
      </c>
      <c r="E14" s="876">
        <v>1</v>
      </c>
      <c r="F14" s="877">
        <v>1</v>
      </c>
      <c r="G14" s="273">
        <f t="shared" si="1"/>
        <v>100</v>
      </c>
      <c r="H14" s="729">
        <v>700</v>
      </c>
      <c r="I14" s="730">
        <v>700</v>
      </c>
      <c r="J14" s="273">
        <f t="shared" si="0"/>
        <v>100</v>
      </c>
    </row>
    <row r="15" spans="1:66" s="134" customFormat="1" ht="40.5" customHeight="1" x14ac:dyDescent="0.25">
      <c r="A15" s="1104"/>
      <c r="B15" s="1030"/>
      <c r="C15" s="614" t="s">
        <v>40</v>
      </c>
      <c r="D15" s="607" t="s">
        <v>1114</v>
      </c>
      <c r="E15" s="876">
        <v>3</v>
      </c>
      <c r="F15" s="877">
        <v>3</v>
      </c>
      <c r="G15" s="273">
        <f t="shared" si="1"/>
        <v>100</v>
      </c>
      <c r="H15" s="729">
        <v>1800</v>
      </c>
      <c r="I15" s="730">
        <v>1800</v>
      </c>
      <c r="J15" s="273">
        <f t="shared" si="0"/>
        <v>100</v>
      </c>
    </row>
    <row r="16" spans="1:66" s="134" customFormat="1" ht="65.25" customHeight="1" x14ac:dyDescent="0.25">
      <c r="A16" s="1104"/>
      <c r="B16" s="1030"/>
      <c r="C16" s="614" t="s">
        <v>46</v>
      </c>
      <c r="D16" s="607" t="s">
        <v>1115</v>
      </c>
      <c r="E16" s="876">
        <v>1</v>
      </c>
      <c r="F16" s="877">
        <v>1</v>
      </c>
      <c r="G16" s="273">
        <f t="shared" si="1"/>
        <v>100</v>
      </c>
      <c r="H16" s="729">
        <v>2000</v>
      </c>
      <c r="I16" s="730">
        <v>2000</v>
      </c>
      <c r="J16" s="273">
        <f t="shared" si="0"/>
        <v>100</v>
      </c>
    </row>
    <row r="17" spans="1:10" s="134" customFormat="1" ht="39.950000000000003" customHeight="1" x14ac:dyDescent="0.25">
      <c r="A17" s="1104"/>
      <c r="B17" s="1030"/>
      <c r="C17" s="614" t="s">
        <v>1116</v>
      </c>
      <c r="D17" s="607" t="s">
        <v>1117</v>
      </c>
      <c r="E17" s="876">
        <v>2</v>
      </c>
      <c r="F17" s="877">
        <v>2</v>
      </c>
      <c r="G17" s="273">
        <f t="shared" si="1"/>
        <v>100</v>
      </c>
      <c r="H17" s="729">
        <v>5000</v>
      </c>
      <c r="I17" s="730">
        <v>5000</v>
      </c>
      <c r="J17" s="273">
        <f t="shared" si="0"/>
        <v>100</v>
      </c>
    </row>
    <row r="18" spans="1:10" s="134" customFormat="1" ht="37.5" customHeight="1" x14ac:dyDescent="0.25">
      <c r="A18" s="1105"/>
      <c r="B18" s="1030"/>
      <c r="C18" s="614" t="s">
        <v>189</v>
      </c>
      <c r="D18" s="607" t="s">
        <v>1118</v>
      </c>
      <c r="E18" s="876">
        <v>1</v>
      </c>
      <c r="F18" s="877">
        <v>1</v>
      </c>
      <c r="G18" s="273">
        <f t="shared" si="1"/>
        <v>100</v>
      </c>
      <c r="H18" s="729">
        <v>5000</v>
      </c>
      <c r="I18" s="730">
        <v>5000</v>
      </c>
      <c r="J18" s="273">
        <f t="shared" si="0"/>
        <v>100</v>
      </c>
    </row>
    <row r="19" spans="1:10" s="134" customFormat="1" ht="24.75" customHeight="1" x14ac:dyDescent="0.25">
      <c r="A19" s="1092">
        <v>2</v>
      </c>
      <c r="B19" s="1030" t="s">
        <v>1172</v>
      </c>
      <c r="C19" s="614" t="s">
        <v>40</v>
      </c>
      <c r="D19" s="607" t="s">
        <v>1119</v>
      </c>
      <c r="E19" s="876">
        <v>1</v>
      </c>
      <c r="F19" s="877">
        <v>0</v>
      </c>
      <c r="G19" s="273">
        <f t="shared" si="1"/>
        <v>0</v>
      </c>
      <c r="H19" s="729">
        <v>25500</v>
      </c>
      <c r="I19" s="730"/>
      <c r="J19" s="273">
        <f t="shared" si="0"/>
        <v>0</v>
      </c>
    </row>
    <row r="20" spans="1:10" s="134" customFormat="1" ht="26.25" customHeight="1" x14ac:dyDescent="0.25">
      <c r="A20" s="1092"/>
      <c r="B20" s="1030"/>
      <c r="C20" s="614" t="s">
        <v>40</v>
      </c>
      <c r="D20" s="607" t="s">
        <v>1120</v>
      </c>
      <c r="E20" s="876">
        <v>3</v>
      </c>
      <c r="F20" s="877">
        <v>3</v>
      </c>
      <c r="G20" s="273">
        <f t="shared" si="1"/>
        <v>100</v>
      </c>
      <c r="H20" s="729">
        <v>2500</v>
      </c>
      <c r="I20" s="730">
        <v>2500</v>
      </c>
      <c r="J20" s="273">
        <f t="shared" si="0"/>
        <v>100</v>
      </c>
    </row>
    <row r="21" spans="1:10" s="134" customFormat="1" ht="14.25" customHeight="1" x14ac:dyDescent="0.25">
      <c r="A21" s="1092"/>
      <c r="B21" s="1030"/>
      <c r="C21" s="614" t="s">
        <v>40</v>
      </c>
      <c r="D21" s="607" t="s">
        <v>1121</v>
      </c>
      <c r="E21" s="876">
        <v>13</v>
      </c>
      <c r="F21" s="877">
        <v>0</v>
      </c>
      <c r="G21" s="273">
        <f t="shared" si="1"/>
        <v>0</v>
      </c>
      <c r="H21" s="729">
        <v>7315</v>
      </c>
      <c r="I21" s="730"/>
      <c r="J21" s="273">
        <f t="shared" si="0"/>
        <v>0</v>
      </c>
    </row>
    <row r="22" spans="1:10" s="134" customFormat="1" ht="14.25" customHeight="1" x14ac:dyDescent="0.25">
      <c r="A22" s="1092">
        <v>3</v>
      </c>
      <c r="B22" s="1030" t="s">
        <v>1122</v>
      </c>
      <c r="C22" s="614" t="s">
        <v>40</v>
      </c>
      <c r="D22" s="607" t="s">
        <v>536</v>
      </c>
      <c r="E22" s="876">
        <v>4</v>
      </c>
      <c r="F22" s="877">
        <v>4</v>
      </c>
      <c r="G22" s="273">
        <f t="shared" si="1"/>
        <v>100</v>
      </c>
      <c r="H22" s="729">
        <v>400</v>
      </c>
      <c r="I22" s="730">
        <v>400</v>
      </c>
      <c r="J22" s="273">
        <f t="shared" si="0"/>
        <v>100</v>
      </c>
    </row>
    <row r="23" spans="1:10" s="134" customFormat="1" ht="42" customHeight="1" x14ac:dyDescent="0.25">
      <c r="A23" s="1092"/>
      <c r="B23" s="1030"/>
      <c r="C23" s="614" t="s">
        <v>40</v>
      </c>
      <c r="D23" s="607" t="s">
        <v>1123</v>
      </c>
      <c r="E23" s="876">
        <v>1</v>
      </c>
      <c r="F23" s="877">
        <v>0</v>
      </c>
      <c r="G23" s="273">
        <f t="shared" si="1"/>
        <v>0</v>
      </c>
      <c r="H23" s="729">
        <v>0</v>
      </c>
      <c r="I23" s="730">
        <v>0</v>
      </c>
      <c r="J23" s="273"/>
    </row>
    <row r="24" spans="1:10" s="134" customFormat="1" ht="14.25" customHeight="1" x14ac:dyDescent="0.25">
      <c r="A24" s="1092"/>
      <c r="B24" s="1030"/>
      <c r="C24" s="614" t="s">
        <v>40</v>
      </c>
      <c r="D24" s="607" t="s">
        <v>42</v>
      </c>
      <c r="E24" s="876">
        <v>2</v>
      </c>
      <c r="F24" s="877">
        <v>0</v>
      </c>
      <c r="G24" s="273">
        <f t="shared" si="1"/>
        <v>0</v>
      </c>
      <c r="H24" s="729">
        <v>0</v>
      </c>
      <c r="I24" s="730">
        <v>0</v>
      </c>
      <c r="J24" s="273"/>
    </row>
    <row r="25" spans="1:10" s="134" customFormat="1" ht="18" customHeight="1" x14ac:dyDescent="0.25">
      <c r="A25" s="1092">
        <v>4</v>
      </c>
      <c r="B25" s="1030" t="s">
        <v>1124</v>
      </c>
      <c r="C25" s="614" t="s">
        <v>40</v>
      </c>
      <c r="D25" s="607" t="s">
        <v>536</v>
      </c>
      <c r="E25" s="876">
        <v>4</v>
      </c>
      <c r="F25" s="877">
        <v>4</v>
      </c>
      <c r="G25" s="273">
        <f t="shared" si="1"/>
        <v>100</v>
      </c>
      <c r="H25" s="729">
        <v>300</v>
      </c>
      <c r="I25" s="730">
        <v>300</v>
      </c>
      <c r="J25" s="273">
        <f t="shared" si="0"/>
        <v>100</v>
      </c>
    </row>
    <row r="26" spans="1:10" s="134" customFormat="1" ht="19.5" customHeight="1" x14ac:dyDescent="0.25">
      <c r="A26" s="1092"/>
      <c r="B26" s="1030"/>
      <c r="C26" s="614" t="s">
        <v>40</v>
      </c>
      <c r="D26" s="607" t="s">
        <v>42</v>
      </c>
      <c r="E26" s="876">
        <v>3</v>
      </c>
      <c r="F26" s="877">
        <v>3</v>
      </c>
      <c r="G26" s="273">
        <f t="shared" si="1"/>
        <v>100</v>
      </c>
      <c r="H26" s="729">
        <v>25000</v>
      </c>
      <c r="I26" s="730">
        <v>25000</v>
      </c>
      <c r="J26" s="273">
        <f t="shared" si="0"/>
        <v>100</v>
      </c>
    </row>
    <row r="27" spans="1:10" s="134" customFormat="1" ht="14.25" customHeight="1" x14ac:dyDescent="0.25">
      <c r="A27" s="1092">
        <v>5</v>
      </c>
      <c r="B27" s="1030" t="s">
        <v>1125</v>
      </c>
      <c r="C27" s="614" t="s">
        <v>40</v>
      </c>
      <c r="D27" s="607" t="s">
        <v>536</v>
      </c>
      <c r="E27" s="876">
        <v>7</v>
      </c>
      <c r="F27" s="877">
        <v>7</v>
      </c>
      <c r="G27" s="273">
        <f t="shared" si="1"/>
        <v>100</v>
      </c>
      <c r="H27" s="729">
        <v>800</v>
      </c>
      <c r="I27" s="730">
        <v>800</v>
      </c>
      <c r="J27" s="273">
        <f t="shared" si="0"/>
        <v>100</v>
      </c>
    </row>
    <row r="28" spans="1:10" s="134" customFormat="1" ht="14.25" customHeight="1" x14ac:dyDescent="0.25">
      <c r="A28" s="1092"/>
      <c r="B28" s="1030"/>
      <c r="C28" s="614" t="s">
        <v>40</v>
      </c>
      <c r="D28" s="607" t="s">
        <v>1115</v>
      </c>
      <c r="E28" s="876">
        <v>3</v>
      </c>
      <c r="F28" s="877">
        <v>3</v>
      </c>
      <c r="G28" s="273">
        <f t="shared" si="1"/>
        <v>100</v>
      </c>
      <c r="H28" s="729">
        <v>17800</v>
      </c>
      <c r="I28" s="730">
        <v>17800</v>
      </c>
      <c r="J28" s="273">
        <f t="shared" si="0"/>
        <v>100</v>
      </c>
    </row>
    <row r="29" spans="1:10" s="134" customFormat="1" ht="14.25" customHeight="1" x14ac:dyDescent="0.25">
      <c r="A29" s="1092"/>
      <c r="B29" s="1030"/>
      <c r="C29" s="614" t="s">
        <v>40</v>
      </c>
      <c r="D29" s="607" t="s">
        <v>1126</v>
      </c>
      <c r="E29" s="876">
        <v>1</v>
      </c>
      <c r="F29" s="877">
        <v>1</v>
      </c>
      <c r="G29" s="273">
        <f t="shared" si="1"/>
        <v>100</v>
      </c>
      <c r="H29" s="729">
        <v>8650</v>
      </c>
      <c r="I29" s="730">
        <v>8650</v>
      </c>
      <c r="J29" s="273">
        <f t="shared" si="0"/>
        <v>100</v>
      </c>
    </row>
    <row r="30" spans="1:10" s="134" customFormat="1" ht="14.25" customHeight="1" x14ac:dyDescent="0.25">
      <c r="A30" s="1092"/>
      <c r="B30" s="1030"/>
      <c r="C30" s="614" t="s">
        <v>46</v>
      </c>
      <c r="D30" s="607" t="s">
        <v>44</v>
      </c>
      <c r="E30" s="876">
        <v>1</v>
      </c>
      <c r="F30" s="877">
        <v>1</v>
      </c>
      <c r="G30" s="273">
        <f t="shared" si="1"/>
        <v>100</v>
      </c>
      <c r="H30" s="729">
        <v>10100</v>
      </c>
      <c r="I30" s="730">
        <v>10100</v>
      </c>
      <c r="J30" s="273">
        <f t="shared" si="0"/>
        <v>100</v>
      </c>
    </row>
    <row r="31" spans="1:10" s="134" customFormat="1" ht="18.75" customHeight="1" x14ac:dyDescent="0.25">
      <c r="A31" s="1092">
        <v>6</v>
      </c>
      <c r="B31" s="1030" t="s">
        <v>1173</v>
      </c>
      <c r="C31" s="614" t="s">
        <v>40</v>
      </c>
      <c r="D31" s="607" t="s">
        <v>1127</v>
      </c>
      <c r="E31" s="876">
        <v>1</v>
      </c>
      <c r="F31" s="877">
        <v>0</v>
      </c>
      <c r="G31" s="273">
        <f t="shared" si="1"/>
        <v>0</v>
      </c>
      <c r="H31" s="729">
        <v>0</v>
      </c>
      <c r="I31" s="730">
        <v>0</v>
      </c>
      <c r="J31" s="273"/>
    </row>
    <row r="32" spans="1:10" s="134" customFormat="1" ht="27.75" customHeight="1" x14ac:dyDescent="0.25">
      <c r="A32" s="1092"/>
      <c r="B32" s="1030"/>
      <c r="C32" s="614" t="s">
        <v>40</v>
      </c>
      <c r="D32" s="607" t="s">
        <v>1128</v>
      </c>
      <c r="E32" s="876">
        <v>2</v>
      </c>
      <c r="F32" s="877">
        <v>2</v>
      </c>
      <c r="G32" s="273">
        <f t="shared" si="1"/>
        <v>100</v>
      </c>
      <c r="H32" s="729">
        <v>16800</v>
      </c>
      <c r="I32" s="730"/>
      <c r="J32" s="273">
        <f t="shared" si="0"/>
        <v>0</v>
      </c>
    </row>
    <row r="33" spans="1:10" s="134" customFormat="1" ht="18.75" customHeight="1" x14ac:dyDescent="0.25">
      <c r="A33" s="1092">
        <v>7</v>
      </c>
      <c r="B33" s="1030" t="s">
        <v>1129</v>
      </c>
      <c r="C33" s="1095" t="s">
        <v>1130</v>
      </c>
      <c r="D33" s="607" t="s">
        <v>1131</v>
      </c>
      <c r="E33" s="876">
        <v>1</v>
      </c>
      <c r="F33" s="877">
        <v>1</v>
      </c>
      <c r="G33" s="273">
        <f t="shared" si="1"/>
        <v>100</v>
      </c>
      <c r="H33" s="729">
        <v>6665</v>
      </c>
      <c r="I33" s="730"/>
      <c r="J33" s="273">
        <f t="shared" si="0"/>
        <v>0</v>
      </c>
    </row>
    <row r="34" spans="1:10" s="134" customFormat="1" ht="18.75" customHeight="1" x14ac:dyDescent="0.25">
      <c r="A34" s="1092"/>
      <c r="B34" s="1030"/>
      <c r="C34" s="1096"/>
      <c r="D34" s="607" t="s">
        <v>1132</v>
      </c>
      <c r="E34" s="876">
        <v>10</v>
      </c>
      <c r="F34" s="877">
        <v>0</v>
      </c>
      <c r="G34" s="273">
        <f t="shared" si="1"/>
        <v>0</v>
      </c>
      <c r="H34" s="729">
        <v>0</v>
      </c>
      <c r="I34" s="730">
        <v>0</v>
      </c>
      <c r="J34" s="273"/>
    </row>
    <row r="35" spans="1:10" s="134" customFormat="1" ht="66" customHeight="1" x14ac:dyDescent="0.25">
      <c r="A35" s="1092"/>
      <c r="B35" s="1030"/>
      <c r="C35" s="614" t="s">
        <v>1133</v>
      </c>
      <c r="D35" s="607" t="s">
        <v>1134</v>
      </c>
      <c r="E35" s="876">
        <v>1</v>
      </c>
      <c r="F35" s="877">
        <v>1</v>
      </c>
      <c r="G35" s="273">
        <f t="shared" si="1"/>
        <v>100</v>
      </c>
      <c r="H35" s="729">
        <v>5000</v>
      </c>
      <c r="I35" s="730"/>
      <c r="J35" s="273">
        <f t="shared" si="0"/>
        <v>0</v>
      </c>
    </row>
    <row r="36" spans="1:10" s="134" customFormat="1" ht="52.5" customHeight="1" x14ac:dyDescent="0.25">
      <c r="A36" s="1092"/>
      <c r="B36" s="1030"/>
      <c r="C36" s="614" t="s">
        <v>1135</v>
      </c>
      <c r="D36" s="607" t="s">
        <v>1136</v>
      </c>
      <c r="E36" s="876">
        <v>1</v>
      </c>
      <c r="F36" s="877">
        <v>1</v>
      </c>
      <c r="G36" s="273">
        <f t="shared" si="1"/>
        <v>100</v>
      </c>
      <c r="H36" s="729">
        <v>5000</v>
      </c>
      <c r="I36" s="730">
        <v>5000</v>
      </c>
      <c r="J36" s="273">
        <f t="shared" si="0"/>
        <v>100</v>
      </c>
    </row>
    <row r="37" spans="1:10" s="134" customFormat="1" ht="51.75" customHeight="1" x14ac:dyDescent="0.25">
      <c r="A37" s="1092"/>
      <c r="B37" s="1030"/>
      <c r="C37" s="614" t="s">
        <v>1137</v>
      </c>
      <c r="D37" s="607" t="s">
        <v>1138</v>
      </c>
      <c r="E37" s="876">
        <v>7</v>
      </c>
      <c r="F37" s="877">
        <v>7</v>
      </c>
      <c r="G37" s="273">
        <f t="shared" si="1"/>
        <v>100</v>
      </c>
      <c r="H37" s="729">
        <v>5000</v>
      </c>
      <c r="I37" s="730">
        <v>5000</v>
      </c>
      <c r="J37" s="273">
        <f t="shared" si="0"/>
        <v>100</v>
      </c>
    </row>
    <row r="38" spans="1:10" s="134" customFormat="1" ht="14.25" customHeight="1" x14ac:dyDescent="0.25">
      <c r="A38" s="1092">
        <v>8</v>
      </c>
      <c r="B38" s="1030" t="s">
        <v>1139</v>
      </c>
      <c r="C38" s="1095" t="s">
        <v>1135</v>
      </c>
      <c r="D38" s="607" t="s">
        <v>1132</v>
      </c>
      <c r="E38" s="876">
        <v>6</v>
      </c>
      <c r="F38" s="877">
        <v>6</v>
      </c>
      <c r="G38" s="273">
        <f t="shared" si="1"/>
        <v>100</v>
      </c>
      <c r="H38" s="729">
        <v>1770</v>
      </c>
      <c r="I38" s="730">
        <v>1770</v>
      </c>
      <c r="J38" s="273">
        <f t="shared" si="0"/>
        <v>100</v>
      </c>
    </row>
    <row r="39" spans="1:10" s="134" customFormat="1" ht="25.5" customHeight="1" x14ac:dyDescent="0.25">
      <c r="A39" s="1092"/>
      <c r="B39" s="1030"/>
      <c r="C39" s="1097"/>
      <c r="D39" s="607" t="s">
        <v>1174</v>
      </c>
      <c r="E39" s="876">
        <v>1</v>
      </c>
      <c r="F39" s="877">
        <v>1</v>
      </c>
      <c r="G39" s="273">
        <f t="shared" si="1"/>
        <v>100</v>
      </c>
      <c r="H39" s="729"/>
      <c r="I39" s="730"/>
      <c r="J39" s="273"/>
    </row>
    <row r="40" spans="1:10" s="134" customFormat="1" ht="17.25" customHeight="1" x14ac:dyDescent="0.25">
      <c r="A40" s="1092"/>
      <c r="B40" s="1030"/>
      <c r="C40" s="1096"/>
      <c r="D40" s="607" t="s">
        <v>1140</v>
      </c>
      <c r="E40" s="876">
        <v>1</v>
      </c>
      <c r="F40" s="877">
        <v>1</v>
      </c>
      <c r="G40" s="273">
        <f t="shared" si="1"/>
        <v>100</v>
      </c>
      <c r="H40" s="729">
        <v>17000</v>
      </c>
      <c r="I40" s="730">
        <v>17000</v>
      </c>
      <c r="J40" s="273">
        <f t="shared" si="0"/>
        <v>100</v>
      </c>
    </row>
    <row r="41" spans="1:10" s="134" customFormat="1" ht="14.25" customHeight="1" x14ac:dyDescent="0.25">
      <c r="A41" s="1092"/>
      <c r="B41" s="1030"/>
      <c r="C41" s="614" t="s">
        <v>46</v>
      </c>
      <c r="D41" s="607" t="s">
        <v>1141</v>
      </c>
      <c r="E41" s="727">
        <v>1</v>
      </c>
      <c r="F41" s="728">
        <v>1</v>
      </c>
      <c r="G41" s="273">
        <f t="shared" si="1"/>
        <v>100</v>
      </c>
      <c r="H41" s="729">
        <v>4100</v>
      </c>
      <c r="I41" s="730">
        <v>4100</v>
      </c>
      <c r="J41" s="273">
        <f t="shared" si="0"/>
        <v>100</v>
      </c>
    </row>
    <row r="42" spans="1:10" s="134" customFormat="1" ht="14.25" customHeight="1" x14ac:dyDescent="0.25">
      <c r="A42" s="1092"/>
      <c r="B42" s="1030"/>
      <c r="C42" s="614" t="s">
        <v>40</v>
      </c>
      <c r="D42" s="607" t="s">
        <v>1142</v>
      </c>
      <c r="E42" s="727">
        <v>3</v>
      </c>
      <c r="F42" s="728">
        <v>3</v>
      </c>
      <c r="G42" s="273">
        <f t="shared" si="1"/>
        <v>100</v>
      </c>
      <c r="H42" s="729">
        <v>3140</v>
      </c>
      <c r="I42" s="730">
        <v>3140</v>
      </c>
      <c r="J42" s="273">
        <f t="shared" si="0"/>
        <v>100</v>
      </c>
    </row>
    <row r="43" spans="1:10" s="134" customFormat="1" ht="25.5" customHeight="1" x14ac:dyDescent="0.25">
      <c r="A43" s="1098">
        <v>9</v>
      </c>
      <c r="B43" s="1030" t="s">
        <v>1175</v>
      </c>
      <c r="C43" s="614" t="s">
        <v>1143</v>
      </c>
      <c r="D43" s="607" t="s">
        <v>42</v>
      </c>
      <c r="E43" s="727">
        <v>2</v>
      </c>
      <c r="F43" s="728">
        <v>2</v>
      </c>
      <c r="G43" s="273">
        <f t="shared" si="1"/>
        <v>100</v>
      </c>
      <c r="H43" s="729">
        <v>840</v>
      </c>
      <c r="I43" s="730">
        <v>840</v>
      </c>
      <c r="J43" s="273">
        <f t="shared" si="0"/>
        <v>100</v>
      </c>
    </row>
    <row r="44" spans="1:10" s="134" customFormat="1" ht="14.25" customHeight="1" x14ac:dyDescent="0.25">
      <c r="A44" s="1098"/>
      <c r="B44" s="1030"/>
      <c r="C44" s="614" t="s">
        <v>46</v>
      </c>
      <c r="D44" s="607" t="s">
        <v>536</v>
      </c>
      <c r="E44" s="727">
        <v>2</v>
      </c>
      <c r="F44" s="728">
        <v>2</v>
      </c>
      <c r="G44" s="273">
        <f t="shared" si="1"/>
        <v>100</v>
      </c>
      <c r="H44" s="729">
        <v>1000</v>
      </c>
      <c r="I44" s="730">
        <v>1000</v>
      </c>
      <c r="J44" s="273">
        <f t="shared" si="0"/>
        <v>100</v>
      </c>
    </row>
    <row r="45" spans="1:10" s="134" customFormat="1" ht="14.25" customHeight="1" x14ac:dyDescent="0.25">
      <c r="A45" s="1098"/>
      <c r="B45" s="1030"/>
      <c r="C45" s="614" t="s">
        <v>628</v>
      </c>
      <c r="D45" s="607" t="s">
        <v>536</v>
      </c>
      <c r="E45" s="727">
        <v>1</v>
      </c>
      <c r="F45" s="728">
        <v>1</v>
      </c>
      <c r="G45" s="273">
        <f t="shared" si="1"/>
        <v>100</v>
      </c>
      <c r="H45" s="729">
        <v>1000</v>
      </c>
      <c r="I45" s="730">
        <v>1000</v>
      </c>
      <c r="J45" s="273">
        <f t="shared" si="0"/>
        <v>100</v>
      </c>
    </row>
    <row r="46" spans="1:10" s="134" customFormat="1" ht="77.25" customHeight="1" x14ac:dyDescent="0.25">
      <c r="A46" s="1099">
        <v>10</v>
      </c>
      <c r="B46" s="1100" t="s">
        <v>1176</v>
      </c>
      <c r="C46" s="614" t="s">
        <v>40</v>
      </c>
      <c r="D46" s="731" t="s">
        <v>1144</v>
      </c>
      <c r="E46" s="732">
        <v>10</v>
      </c>
      <c r="F46" s="732">
        <v>10</v>
      </c>
      <c r="G46" s="273">
        <f t="shared" si="1"/>
        <v>100</v>
      </c>
      <c r="H46" s="729">
        <v>12269</v>
      </c>
      <c r="I46" s="730">
        <v>12269</v>
      </c>
      <c r="J46" s="273">
        <f t="shared" si="0"/>
        <v>100</v>
      </c>
    </row>
    <row r="47" spans="1:10" s="134" customFormat="1" ht="30" customHeight="1" x14ac:dyDescent="0.25">
      <c r="A47" s="1099"/>
      <c r="B47" s="1101"/>
      <c r="C47" s="614" t="s">
        <v>46</v>
      </c>
      <c r="D47" s="614" t="s">
        <v>1145</v>
      </c>
      <c r="E47" s="732">
        <v>1</v>
      </c>
      <c r="F47" s="732">
        <v>0</v>
      </c>
      <c r="G47" s="273">
        <f t="shared" si="1"/>
        <v>0</v>
      </c>
      <c r="H47" s="729">
        <v>0</v>
      </c>
      <c r="I47" s="730">
        <v>0</v>
      </c>
      <c r="J47" s="273"/>
    </row>
    <row r="48" spans="1:10" s="134" customFormat="1" ht="25.5" customHeight="1" x14ac:dyDescent="0.25">
      <c r="A48" s="1099"/>
      <c r="B48" s="1101"/>
      <c r="C48" s="614" t="s">
        <v>630</v>
      </c>
      <c r="D48" s="614" t="s">
        <v>1146</v>
      </c>
      <c r="E48" s="732">
        <v>2</v>
      </c>
      <c r="F48" s="732">
        <v>2</v>
      </c>
      <c r="G48" s="273">
        <f t="shared" si="1"/>
        <v>100</v>
      </c>
      <c r="H48" s="729">
        <v>1200</v>
      </c>
      <c r="I48" s="730">
        <v>1200</v>
      </c>
      <c r="J48" s="273">
        <f t="shared" si="0"/>
        <v>100</v>
      </c>
    </row>
    <row r="49" spans="1:10" s="134" customFormat="1" ht="25.5" customHeight="1" x14ac:dyDescent="0.25">
      <c r="A49" s="1099"/>
      <c r="B49" s="1101"/>
      <c r="C49" s="614" t="s">
        <v>40</v>
      </c>
      <c r="D49" s="614" t="s">
        <v>1147</v>
      </c>
      <c r="E49" s="732">
        <v>2</v>
      </c>
      <c r="F49" s="732">
        <v>0</v>
      </c>
      <c r="G49" s="273">
        <f t="shared" si="1"/>
        <v>0</v>
      </c>
      <c r="H49" s="729">
        <v>0</v>
      </c>
      <c r="I49" s="730">
        <v>0</v>
      </c>
      <c r="J49" s="273"/>
    </row>
    <row r="50" spans="1:10" s="134" customFormat="1" ht="43.5" customHeight="1" x14ac:dyDescent="0.25">
      <c r="A50" s="1099"/>
      <c r="B50" s="1102"/>
      <c r="C50" s="614" t="s">
        <v>1177</v>
      </c>
      <c r="D50" s="725" t="s">
        <v>1148</v>
      </c>
      <c r="E50" s="727">
        <v>2</v>
      </c>
      <c r="F50" s="727">
        <v>0</v>
      </c>
      <c r="G50" s="273">
        <f t="shared" si="1"/>
        <v>0</v>
      </c>
      <c r="H50" s="729">
        <v>2500</v>
      </c>
      <c r="I50" s="730"/>
      <c r="J50" s="273">
        <f t="shared" si="0"/>
        <v>0</v>
      </c>
    </row>
    <row r="51" spans="1:10" s="134" customFormat="1" ht="25.5" customHeight="1" x14ac:dyDescent="0.25">
      <c r="A51" s="733">
        <v>11</v>
      </c>
      <c r="B51" s="15" t="s">
        <v>1149</v>
      </c>
      <c r="C51" s="614" t="s">
        <v>40</v>
      </c>
      <c r="D51" s="614" t="s">
        <v>1150</v>
      </c>
      <c r="E51" s="732">
        <v>1</v>
      </c>
      <c r="F51" s="732">
        <v>0</v>
      </c>
      <c r="G51" s="273">
        <f t="shared" si="1"/>
        <v>0</v>
      </c>
      <c r="H51" s="729">
        <v>0</v>
      </c>
      <c r="I51" s="730">
        <v>0</v>
      </c>
      <c r="J51" s="273"/>
    </row>
    <row r="52" spans="1:10" s="134" customFormat="1" ht="27.75" customHeight="1" x14ac:dyDescent="0.25">
      <c r="A52" s="733">
        <v>12</v>
      </c>
      <c r="B52" s="15" t="s">
        <v>1151</v>
      </c>
      <c r="C52" s="614" t="s">
        <v>40</v>
      </c>
      <c r="D52" s="614" t="s">
        <v>1152</v>
      </c>
      <c r="E52" s="732">
        <v>6</v>
      </c>
      <c r="F52" s="732">
        <v>6</v>
      </c>
      <c r="G52" s="273">
        <f t="shared" si="1"/>
        <v>100</v>
      </c>
      <c r="H52" s="729">
        <v>32800</v>
      </c>
      <c r="I52" s="730">
        <v>32800</v>
      </c>
      <c r="J52" s="273">
        <f t="shared" si="0"/>
        <v>100</v>
      </c>
    </row>
    <row r="53" spans="1:10" s="134" customFormat="1" ht="18.75" customHeight="1" x14ac:dyDescent="0.25">
      <c r="A53" s="1099">
        <v>13</v>
      </c>
      <c r="B53" s="1094" t="s">
        <v>1153</v>
      </c>
      <c r="C53" s="614" t="s">
        <v>626</v>
      </c>
      <c r="D53" s="614" t="s">
        <v>107</v>
      </c>
      <c r="E53" s="732">
        <v>3</v>
      </c>
      <c r="F53" s="732">
        <v>0</v>
      </c>
      <c r="G53" s="273">
        <f t="shared" si="1"/>
        <v>0</v>
      </c>
      <c r="H53" s="729">
        <v>2500</v>
      </c>
      <c r="I53" s="730"/>
      <c r="J53" s="273">
        <f t="shared" si="0"/>
        <v>0</v>
      </c>
    </row>
    <row r="54" spans="1:10" s="134" customFormat="1" ht="18.75" customHeight="1" x14ac:dyDescent="0.25">
      <c r="A54" s="1099"/>
      <c r="B54" s="1094"/>
      <c r="C54" s="614" t="s">
        <v>40</v>
      </c>
      <c r="D54" s="614" t="s">
        <v>431</v>
      </c>
      <c r="E54" s="732">
        <v>1</v>
      </c>
      <c r="F54" s="732">
        <v>1</v>
      </c>
      <c r="G54" s="273">
        <f t="shared" si="1"/>
        <v>100</v>
      </c>
      <c r="H54" s="729">
        <v>2500</v>
      </c>
      <c r="I54" s="730">
        <v>2500</v>
      </c>
      <c r="J54" s="273">
        <f t="shared" si="0"/>
        <v>100</v>
      </c>
    </row>
    <row r="55" spans="1:10" s="134" customFormat="1" ht="18.75" customHeight="1" x14ac:dyDescent="0.25">
      <c r="A55" s="1092">
        <v>14</v>
      </c>
      <c r="B55" s="1094" t="s">
        <v>1154</v>
      </c>
      <c r="C55" s="614" t="s">
        <v>40</v>
      </c>
      <c r="D55" s="725" t="s">
        <v>536</v>
      </c>
      <c r="E55" s="727">
        <v>3</v>
      </c>
      <c r="F55" s="727"/>
      <c r="G55" s="273">
        <f t="shared" si="1"/>
        <v>0</v>
      </c>
      <c r="H55" s="729">
        <v>0</v>
      </c>
      <c r="I55" s="730">
        <v>0</v>
      </c>
      <c r="J55" s="273"/>
    </row>
    <row r="56" spans="1:10" s="134" customFormat="1" ht="18.75" customHeight="1" x14ac:dyDescent="0.25">
      <c r="A56" s="1092"/>
      <c r="B56" s="1094"/>
      <c r="C56" s="614" t="s">
        <v>40</v>
      </c>
      <c r="D56" s="725" t="s">
        <v>490</v>
      </c>
      <c r="E56" s="727">
        <v>1</v>
      </c>
      <c r="F56" s="727">
        <v>1</v>
      </c>
      <c r="G56" s="273">
        <f t="shared" si="1"/>
        <v>100</v>
      </c>
      <c r="H56" s="729">
        <v>10500</v>
      </c>
      <c r="I56" s="730">
        <v>10500</v>
      </c>
      <c r="J56" s="273">
        <f t="shared" si="0"/>
        <v>100</v>
      </c>
    </row>
    <row r="57" spans="1:10" s="134" customFormat="1" ht="25.5" customHeight="1" x14ac:dyDescent="0.25">
      <c r="A57" s="1092"/>
      <c r="B57" s="1094"/>
      <c r="C57" s="614" t="s">
        <v>40</v>
      </c>
      <c r="D57" s="725" t="s">
        <v>1155</v>
      </c>
      <c r="E57" s="727">
        <v>1</v>
      </c>
      <c r="F57" s="727">
        <v>0</v>
      </c>
      <c r="G57" s="273">
        <f t="shared" si="1"/>
        <v>0</v>
      </c>
      <c r="H57" s="729">
        <v>100</v>
      </c>
      <c r="I57" s="730"/>
      <c r="J57" s="273">
        <f t="shared" si="0"/>
        <v>0</v>
      </c>
    </row>
    <row r="58" spans="1:10" s="134" customFormat="1" ht="25.5" customHeight="1" x14ac:dyDescent="0.25">
      <c r="A58" s="1092"/>
      <c r="B58" s="1094"/>
      <c r="C58" s="614" t="s">
        <v>40</v>
      </c>
      <c r="D58" s="725" t="s">
        <v>1156</v>
      </c>
      <c r="E58" s="727">
        <v>8</v>
      </c>
      <c r="F58" s="727">
        <v>8</v>
      </c>
      <c r="G58" s="273">
        <f t="shared" si="1"/>
        <v>100</v>
      </c>
      <c r="H58" s="729">
        <v>750</v>
      </c>
      <c r="I58" s="730">
        <v>750</v>
      </c>
      <c r="J58" s="273">
        <f t="shared" si="0"/>
        <v>100</v>
      </c>
    </row>
    <row r="59" spans="1:10" s="134" customFormat="1" ht="18.75" customHeight="1" x14ac:dyDescent="0.25">
      <c r="A59" s="1092">
        <v>15</v>
      </c>
      <c r="B59" s="1093" t="s">
        <v>1157</v>
      </c>
      <c r="C59" s="614" t="s">
        <v>40</v>
      </c>
      <c r="D59" s="725" t="s">
        <v>1158</v>
      </c>
      <c r="E59" s="727">
        <v>2</v>
      </c>
      <c r="F59" s="727">
        <v>2</v>
      </c>
      <c r="G59" s="273">
        <f t="shared" si="1"/>
        <v>100</v>
      </c>
      <c r="H59" s="729"/>
      <c r="I59" s="730"/>
      <c r="J59" s="273"/>
    </row>
    <row r="60" spans="1:10" s="134" customFormat="1" ht="18.75" customHeight="1" x14ac:dyDescent="0.25">
      <c r="A60" s="1092"/>
      <c r="B60" s="1093"/>
      <c r="C60" s="614" t="s">
        <v>40</v>
      </c>
      <c r="D60" s="725" t="s">
        <v>599</v>
      </c>
      <c r="E60" s="727">
        <v>1</v>
      </c>
      <c r="F60" s="727">
        <v>0</v>
      </c>
      <c r="G60" s="273">
        <f t="shared" si="1"/>
        <v>0</v>
      </c>
      <c r="H60" s="729">
        <v>100</v>
      </c>
      <c r="I60" s="730"/>
      <c r="J60" s="273">
        <f t="shared" si="0"/>
        <v>0</v>
      </c>
    </row>
    <row r="61" spans="1:10" s="134" customFormat="1" ht="18.75" customHeight="1" x14ac:dyDescent="0.25">
      <c r="A61" s="1092"/>
      <c r="B61" s="1093"/>
      <c r="C61" s="614" t="s">
        <v>40</v>
      </c>
      <c r="D61" s="725" t="s">
        <v>1159</v>
      </c>
      <c r="E61" s="727">
        <v>1</v>
      </c>
      <c r="F61" s="727">
        <v>0</v>
      </c>
      <c r="G61" s="273">
        <f t="shared" si="1"/>
        <v>0</v>
      </c>
      <c r="H61" s="729"/>
      <c r="I61" s="730"/>
      <c r="J61" s="273"/>
    </row>
    <row r="62" spans="1:10" s="134" customFormat="1" ht="24" customHeight="1" x14ac:dyDescent="0.25">
      <c r="A62" s="734">
        <v>16</v>
      </c>
      <c r="B62" s="735" t="s">
        <v>1160</v>
      </c>
      <c r="C62" s="614" t="s">
        <v>40</v>
      </c>
      <c r="D62" s="725" t="s">
        <v>1161</v>
      </c>
      <c r="E62" s="727">
        <v>4</v>
      </c>
      <c r="F62" s="727">
        <v>0</v>
      </c>
      <c r="G62" s="273">
        <f t="shared" si="1"/>
        <v>0</v>
      </c>
      <c r="H62" s="729">
        <v>0</v>
      </c>
      <c r="I62" s="730">
        <v>0</v>
      </c>
      <c r="J62" s="273"/>
    </row>
    <row r="63" spans="1:10" s="134" customFormat="1" ht="25.5" customHeight="1" x14ac:dyDescent="0.25">
      <c r="A63" s="1092">
        <v>17</v>
      </c>
      <c r="B63" s="1093" t="s">
        <v>1162</v>
      </c>
      <c r="C63" s="614" t="s">
        <v>40</v>
      </c>
      <c r="D63" s="725" t="s">
        <v>1163</v>
      </c>
      <c r="E63" s="727">
        <v>57</v>
      </c>
      <c r="F63" s="727"/>
      <c r="G63" s="273">
        <f t="shared" si="1"/>
        <v>0</v>
      </c>
      <c r="H63" s="729">
        <v>0</v>
      </c>
      <c r="I63" s="730">
        <v>0</v>
      </c>
      <c r="J63" s="273"/>
    </row>
    <row r="64" spans="1:10" s="134" customFormat="1" ht="26.25" customHeight="1" x14ac:dyDescent="0.25">
      <c r="A64" s="1092"/>
      <c r="B64" s="1093"/>
      <c r="C64" s="614" t="s">
        <v>40</v>
      </c>
      <c r="D64" s="725" t="s">
        <v>1164</v>
      </c>
      <c r="E64" s="727">
        <v>1</v>
      </c>
      <c r="F64" s="727">
        <v>1</v>
      </c>
      <c r="G64" s="273">
        <f t="shared" si="1"/>
        <v>100</v>
      </c>
      <c r="H64" s="729">
        <v>39000</v>
      </c>
      <c r="I64" s="730">
        <v>39000</v>
      </c>
      <c r="J64" s="273">
        <f t="shared" si="0"/>
        <v>100</v>
      </c>
    </row>
    <row r="65" spans="1:240" s="134" customFormat="1" ht="18.75" customHeight="1" x14ac:dyDescent="0.25">
      <c r="A65" s="1092"/>
      <c r="B65" s="1093"/>
      <c r="C65" s="614" t="s">
        <v>40</v>
      </c>
      <c r="D65" s="725" t="s">
        <v>1165</v>
      </c>
      <c r="E65" s="727">
        <v>30</v>
      </c>
      <c r="F65" s="727"/>
      <c r="G65" s="273">
        <f t="shared" si="1"/>
        <v>0</v>
      </c>
      <c r="H65" s="729"/>
      <c r="I65" s="730"/>
      <c r="J65" s="273"/>
    </row>
    <row r="66" spans="1:240" s="134" customFormat="1" ht="18.75" customHeight="1" x14ac:dyDescent="0.25">
      <c r="A66" s="1092">
        <v>18</v>
      </c>
      <c r="B66" s="1093" t="s">
        <v>1166</v>
      </c>
      <c r="C66" s="614" t="s">
        <v>40</v>
      </c>
      <c r="D66" s="725" t="s">
        <v>1167</v>
      </c>
      <c r="E66" s="727">
        <v>2</v>
      </c>
      <c r="F66" s="727">
        <v>0</v>
      </c>
      <c r="G66" s="273">
        <f t="shared" si="1"/>
        <v>0</v>
      </c>
      <c r="H66" s="729">
        <v>1950</v>
      </c>
      <c r="I66" s="730"/>
      <c r="J66" s="273">
        <f t="shared" si="0"/>
        <v>0</v>
      </c>
    </row>
    <row r="67" spans="1:240" s="134" customFormat="1" ht="25.5" customHeight="1" x14ac:dyDescent="0.25">
      <c r="A67" s="1092"/>
      <c r="B67" s="1093"/>
      <c r="C67" s="614" t="s">
        <v>40</v>
      </c>
      <c r="D67" s="725" t="s">
        <v>1168</v>
      </c>
      <c r="E67" s="727">
        <v>1</v>
      </c>
      <c r="F67" s="727">
        <v>0</v>
      </c>
      <c r="G67" s="273">
        <f t="shared" si="1"/>
        <v>0</v>
      </c>
      <c r="H67" s="729">
        <v>10000</v>
      </c>
      <c r="I67" s="730"/>
      <c r="J67" s="273">
        <f t="shared" si="0"/>
        <v>0</v>
      </c>
    </row>
    <row r="68" spans="1:240" s="134" customFormat="1" ht="29.25" customHeight="1" x14ac:dyDescent="0.25">
      <c r="A68" s="736">
        <v>19</v>
      </c>
      <c r="B68" s="735" t="s">
        <v>1169</v>
      </c>
      <c r="C68" s="614" t="s">
        <v>40</v>
      </c>
      <c r="D68" s="725" t="s">
        <v>459</v>
      </c>
      <c r="E68" s="727">
        <v>2</v>
      </c>
      <c r="F68" s="727">
        <v>2</v>
      </c>
      <c r="G68" s="273">
        <f t="shared" si="1"/>
        <v>100</v>
      </c>
      <c r="H68" s="729">
        <v>7160</v>
      </c>
      <c r="I68" s="730"/>
      <c r="J68" s="273">
        <f t="shared" si="0"/>
        <v>0</v>
      </c>
    </row>
    <row r="69" spans="1:240" s="134" customFormat="1" ht="18.75" customHeight="1" x14ac:dyDescent="0.25">
      <c r="A69" s="736"/>
      <c r="B69" s="628" t="s">
        <v>2029</v>
      </c>
      <c r="C69" s="614"/>
      <c r="D69" s="725"/>
      <c r="E69" s="726"/>
      <c r="F69" s="726"/>
      <c r="G69" s="273"/>
      <c r="H69" s="41">
        <f>SUM(H70:H74)</f>
        <v>3238109</v>
      </c>
      <c r="I69" s="737">
        <f>SUM(I70:I74)</f>
        <v>2511784.2400000002</v>
      </c>
      <c r="J69" s="738">
        <f t="shared" ref="J69:J75" si="2">+I69/H69*100</f>
        <v>77.56947774148432</v>
      </c>
    </row>
    <row r="70" spans="1:240" s="135" customFormat="1" ht="25.5" x14ac:dyDescent="0.2">
      <c r="A70" s="739">
        <v>2</v>
      </c>
      <c r="B70" s="740" t="s">
        <v>1286</v>
      </c>
      <c r="C70" s="741" t="s">
        <v>1108</v>
      </c>
      <c r="D70" s="741"/>
      <c r="E70" s="742">
        <v>1</v>
      </c>
      <c r="F70" s="742">
        <v>1</v>
      </c>
      <c r="G70" s="273">
        <f t="shared" si="1"/>
        <v>100</v>
      </c>
      <c r="H70" s="695">
        <v>999307</v>
      </c>
      <c r="I70" s="696">
        <v>946216.82000000007</v>
      </c>
      <c r="J70" s="743">
        <f t="shared" si="2"/>
        <v>94.687300299107292</v>
      </c>
      <c r="IF70" s="134"/>
    </row>
    <row r="71" spans="1:240" s="135" customFormat="1" ht="27" customHeight="1" x14ac:dyDescent="0.2">
      <c r="A71" s="620">
        <v>1</v>
      </c>
      <c r="B71" s="621" t="s">
        <v>1527</v>
      </c>
      <c r="C71" s="623" t="s">
        <v>1055</v>
      </c>
      <c r="D71" s="723"/>
      <c r="E71" s="742">
        <v>1</v>
      </c>
      <c r="F71" s="742">
        <v>0.7</v>
      </c>
      <c r="G71" s="273">
        <f>+F71/E71*100</f>
        <v>70</v>
      </c>
      <c r="H71" s="16">
        <f>1115070+406694</f>
        <v>1521764</v>
      </c>
      <c r="I71" s="581">
        <f>656534.04+402849.38</f>
        <v>1059383.42</v>
      </c>
      <c r="J71" s="42">
        <f t="shared" si="2"/>
        <v>69.615487026897725</v>
      </c>
      <c r="IF71" s="134"/>
    </row>
    <row r="72" spans="1:240" s="145" customFormat="1" ht="28.5" customHeight="1" x14ac:dyDescent="0.2">
      <c r="A72" s="744">
        <v>4</v>
      </c>
      <c r="B72" s="621" t="s">
        <v>1564</v>
      </c>
      <c r="C72" s="623" t="s">
        <v>189</v>
      </c>
      <c r="D72" s="623" t="s">
        <v>64</v>
      </c>
      <c r="E72" s="745">
        <v>1</v>
      </c>
      <c r="F72" s="745">
        <v>1</v>
      </c>
      <c r="G72" s="273">
        <f t="shared" si="1"/>
        <v>100</v>
      </c>
      <c r="H72" s="695">
        <v>81975</v>
      </c>
      <c r="I72" s="696">
        <v>58620</v>
      </c>
      <c r="J72" s="743">
        <f t="shared" si="2"/>
        <v>71.509606587374194</v>
      </c>
    </row>
    <row r="73" spans="1:240" s="145" customFormat="1" ht="43.5" customHeight="1" x14ac:dyDescent="0.2">
      <c r="A73" s="744">
        <v>5</v>
      </c>
      <c r="B73" s="621" t="s">
        <v>1237</v>
      </c>
      <c r="C73" s="623" t="s">
        <v>168</v>
      </c>
      <c r="D73" s="623" t="s">
        <v>64</v>
      </c>
      <c r="E73" s="745">
        <v>1</v>
      </c>
      <c r="F73" s="745">
        <v>1</v>
      </c>
      <c r="G73" s="273">
        <f t="shared" si="1"/>
        <v>100</v>
      </c>
      <c r="H73" s="707">
        <f>11000+253000</f>
        <v>264000</v>
      </c>
      <c r="I73" s="624">
        <f>11000+103000</f>
        <v>114000</v>
      </c>
      <c r="J73" s="743">
        <f t="shared" si="2"/>
        <v>43.18181818181818</v>
      </c>
    </row>
    <row r="74" spans="1:240" s="145" customFormat="1" ht="29.25" customHeight="1" x14ac:dyDescent="0.2">
      <c r="A74" s="744">
        <v>6</v>
      </c>
      <c r="B74" s="701" t="s">
        <v>1569</v>
      </c>
      <c r="C74" s="623" t="s">
        <v>40</v>
      </c>
      <c r="D74" s="721"/>
      <c r="E74" s="742">
        <v>1</v>
      </c>
      <c r="F74" s="742">
        <v>1</v>
      </c>
      <c r="G74" s="273">
        <f t="shared" si="1"/>
        <v>100</v>
      </c>
      <c r="H74" s="746">
        <v>371063</v>
      </c>
      <c r="I74" s="747">
        <v>333564</v>
      </c>
      <c r="J74" s="743">
        <f t="shared" si="2"/>
        <v>89.894168914712594</v>
      </c>
    </row>
    <row r="75" spans="1:240" s="134" customFormat="1" ht="18.75" customHeight="1" x14ac:dyDescent="0.25">
      <c r="A75" s="595"/>
      <c r="B75" s="35" t="s">
        <v>1082</v>
      </c>
      <c r="C75" s="168"/>
      <c r="D75" s="168"/>
      <c r="E75" s="368"/>
      <c r="F75" s="368"/>
      <c r="G75" s="748"/>
      <c r="H75" s="41">
        <f>SUM(H76:H77)</f>
        <v>161000</v>
      </c>
      <c r="I75" s="306">
        <f>SUM(I76:I77)</f>
        <v>114000</v>
      </c>
      <c r="J75" s="393">
        <f t="shared" si="2"/>
        <v>70.807453416149073</v>
      </c>
    </row>
    <row r="76" spans="1:240" s="138" customFormat="1" ht="18.75" customHeight="1" x14ac:dyDescent="0.25">
      <c r="A76" s="364">
        <v>1</v>
      </c>
      <c r="B76" s="570" t="s">
        <v>1102</v>
      </c>
      <c r="C76" s="607"/>
      <c r="D76" s="607"/>
      <c r="E76" s="468"/>
      <c r="F76" s="468"/>
      <c r="G76" s="273"/>
      <c r="H76" s="37">
        <v>31000</v>
      </c>
      <c r="I76" s="37"/>
      <c r="J76" s="37"/>
    </row>
    <row r="77" spans="1:240" s="138" customFormat="1" ht="29.25" customHeight="1" x14ac:dyDescent="0.25">
      <c r="A77" s="364">
        <v>2</v>
      </c>
      <c r="B77" s="640" t="s">
        <v>2293</v>
      </c>
      <c r="C77" s="607"/>
      <c r="D77" s="607"/>
      <c r="E77" s="468"/>
      <c r="F77" s="468"/>
      <c r="G77" s="273"/>
      <c r="H77" s="37">
        <v>130000</v>
      </c>
      <c r="I77" s="37">
        <v>114000</v>
      </c>
      <c r="J77" s="743">
        <f>+I77/H77*100</f>
        <v>87.692307692307693</v>
      </c>
    </row>
    <row r="78" spans="1:240" s="138" customFormat="1" ht="18.75" customHeight="1" x14ac:dyDescent="0.25">
      <c r="A78" s="1009" t="s">
        <v>1944</v>
      </c>
      <c r="B78" s="1010"/>
      <c r="C78" s="607"/>
      <c r="D78" s="607"/>
      <c r="E78" s="468"/>
      <c r="F78" s="468"/>
      <c r="G78" s="273"/>
      <c r="H78" s="67">
        <f>+H79+H89+H101+H105</f>
        <v>1203215</v>
      </c>
      <c r="I78" s="81">
        <f>+I79+I89+I101+I105</f>
        <v>659201.78999999992</v>
      </c>
      <c r="J78" s="749">
        <f t="shared" ref="J78:J93" si="3">+I78/H78*100</f>
        <v>54.786699800118846</v>
      </c>
    </row>
    <row r="79" spans="1:240" ht="18.75" customHeight="1" x14ac:dyDescent="0.2">
      <c r="A79" s="367">
        <v>1</v>
      </c>
      <c r="B79" s="35" t="s">
        <v>597</v>
      </c>
      <c r="C79" s="168"/>
      <c r="D79" s="168"/>
      <c r="E79" s="368"/>
      <c r="F79" s="368"/>
      <c r="G79" s="369"/>
      <c r="H79" s="41">
        <f>H80+H84</f>
        <v>422007</v>
      </c>
      <c r="I79" s="306">
        <f>I80+I84</f>
        <v>224418</v>
      </c>
      <c r="J79" s="314">
        <f t="shared" si="3"/>
        <v>53.178738741300499</v>
      </c>
    </row>
    <row r="80" spans="1:240" ht="18.75" customHeight="1" x14ac:dyDescent="0.2">
      <c r="A80" s="537">
        <v>1.1000000000000001</v>
      </c>
      <c r="B80" s="371" t="s">
        <v>607</v>
      </c>
      <c r="C80" s="372"/>
      <c r="D80" s="372"/>
      <c r="E80" s="373"/>
      <c r="F80" s="373"/>
      <c r="G80" s="374"/>
      <c r="H80" s="45">
        <f>H81+H82+H83</f>
        <v>222007</v>
      </c>
      <c r="I80" s="278">
        <f>SUM(I81,I82,I83)</f>
        <v>125000</v>
      </c>
      <c r="J80" s="303">
        <f t="shared" si="3"/>
        <v>56.304530938213659</v>
      </c>
    </row>
    <row r="81" spans="1:10" ht="40.5" customHeight="1" x14ac:dyDescent="0.2">
      <c r="A81" s="76" t="s">
        <v>569</v>
      </c>
      <c r="B81" s="604" t="s">
        <v>1039</v>
      </c>
      <c r="C81" s="164" t="s">
        <v>218</v>
      </c>
      <c r="D81" s="607" t="s">
        <v>594</v>
      </c>
      <c r="E81" s="315">
        <v>10</v>
      </c>
      <c r="F81" s="468">
        <v>18</v>
      </c>
      <c r="G81" s="290">
        <f>+F81/E81*100</f>
        <v>180</v>
      </c>
      <c r="H81" s="38">
        <v>72007</v>
      </c>
      <c r="I81" s="277">
        <v>55000</v>
      </c>
      <c r="J81" s="290">
        <f t="shared" si="3"/>
        <v>76.381462913327866</v>
      </c>
    </row>
    <row r="82" spans="1:10" ht="25.5" customHeight="1" x14ac:dyDescent="0.2">
      <c r="A82" s="76" t="s">
        <v>570</v>
      </c>
      <c r="B82" s="604" t="s">
        <v>1040</v>
      </c>
      <c r="C82" s="164" t="s">
        <v>218</v>
      </c>
      <c r="D82" s="607" t="s">
        <v>586</v>
      </c>
      <c r="E82" s="315">
        <v>30</v>
      </c>
      <c r="F82" s="468">
        <v>32</v>
      </c>
      <c r="G82" s="290">
        <f>+F82/E82*100</f>
        <v>106.66666666666667</v>
      </c>
      <c r="H82" s="38">
        <v>80000</v>
      </c>
      <c r="I82" s="277">
        <v>55000</v>
      </c>
      <c r="J82" s="290">
        <f t="shared" si="3"/>
        <v>68.75</v>
      </c>
    </row>
    <row r="83" spans="1:10" ht="21.75" customHeight="1" x14ac:dyDescent="0.2">
      <c r="A83" s="76" t="s">
        <v>571</v>
      </c>
      <c r="B83" s="604" t="s">
        <v>1934</v>
      </c>
      <c r="C83" s="164" t="s">
        <v>218</v>
      </c>
      <c r="D83" s="607" t="s">
        <v>588</v>
      </c>
      <c r="E83" s="315">
        <v>5</v>
      </c>
      <c r="F83" s="468">
        <v>7</v>
      </c>
      <c r="G83" s="290">
        <f>+F83/E83*100</f>
        <v>140</v>
      </c>
      <c r="H83" s="38">
        <v>70000</v>
      </c>
      <c r="I83" s="277">
        <v>15000</v>
      </c>
      <c r="J83" s="290">
        <f t="shared" si="3"/>
        <v>21.428571428571427</v>
      </c>
    </row>
    <row r="84" spans="1:10" ht="18.75" customHeight="1" x14ac:dyDescent="0.2">
      <c r="A84" s="537">
        <v>1.2</v>
      </c>
      <c r="B84" s="371" t="s">
        <v>1037</v>
      </c>
      <c r="C84" s="372"/>
      <c r="D84" s="372"/>
      <c r="E84" s="373"/>
      <c r="F84" s="375"/>
      <c r="G84" s="382"/>
      <c r="H84" s="376">
        <f>H85+H86+H87+H88</f>
        <v>200000</v>
      </c>
      <c r="I84" s="278">
        <f>SUM(I85,I86,I87,I88)</f>
        <v>99418</v>
      </c>
      <c r="J84" s="303">
        <f t="shared" si="3"/>
        <v>49.708999999999996</v>
      </c>
    </row>
    <row r="85" spans="1:10" ht="24.75" customHeight="1" x14ac:dyDescent="0.2">
      <c r="A85" s="76" t="s">
        <v>589</v>
      </c>
      <c r="B85" s="604" t="s">
        <v>1041</v>
      </c>
      <c r="C85" s="164" t="s">
        <v>218</v>
      </c>
      <c r="D85" s="607" t="s">
        <v>598</v>
      </c>
      <c r="E85" s="315">
        <v>40</v>
      </c>
      <c r="F85" s="468">
        <v>13</v>
      </c>
      <c r="G85" s="290">
        <f>+F85/E85*100</f>
        <v>32.5</v>
      </c>
      <c r="H85" s="38">
        <v>20000</v>
      </c>
      <c r="I85" s="277">
        <v>5125</v>
      </c>
      <c r="J85" s="290">
        <f t="shared" si="3"/>
        <v>25.624999999999996</v>
      </c>
    </row>
    <row r="86" spans="1:10" ht="25.5" customHeight="1" x14ac:dyDescent="0.2">
      <c r="A86" s="76" t="s">
        <v>592</v>
      </c>
      <c r="B86" s="604" t="s">
        <v>1042</v>
      </c>
      <c r="C86" s="164" t="s">
        <v>218</v>
      </c>
      <c r="D86" s="607" t="s">
        <v>599</v>
      </c>
      <c r="E86" s="315">
        <v>80</v>
      </c>
      <c r="F86" s="468">
        <v>38</v>
      </c>
      <c r="G86" s="290">
        <f>+F86/E86*100</f>
        <v>47.5</v>
      </c>
      <c r="H86" s="38">
        <v>20000</v>
      </c>
      <c r="I86" s="277">
        <v>30250</v>
      </c>
      <c r="J86" s="290">
        <f t="shared" si="3"/>
        <v>151.25</v>
      </c>
    </row>
    <row r="87" spans="1:10" ht="45" customHeight="1" x14ac:dyDescent="0.2">
      <c r="A87" s="76" t="s">
        <v>595</v>
      </c>
      <c r="B87" s="604" t="s">
        <v>1043</v>
      </c>
      <c r="C87" s="164" t="s">
        <v>218</v>
      </c>
      <c r="D87" s="607" t="s">
        <v>600</v>
      </c>
      <c r="E87" s="315">
        <v>6</v>
      </c>
      <c r="F87" s="468">
        <v>6</v>
      </c>
      <c r="G87" s="290">
        <f>+F87/E87*100</f>
        <v>100</v>
      </c>
      <c r="H87" s="38">
        <v>80000</v>
      </c>
      <c r="I87" s="277">
        <v>50000</v>
      </c>
      <c r="J87" s="290">
        <f t="shared" si="3"/>
        <v>62.5</v>
      </c>
    </row>
    <row r="88" spans="1:10" ht="25.5" customHeight="1" x14ac:dyDescent="0.2">
      <c r="A88" s="76" t="s">
        <v>1170</v>
      </c>
      <c r="B88" s="604" t="s">
        <v>1034</v>
      </c>
      <c r="C88" s="164" t="s">
        <v>218</v>
      </c>
      <c r="D88" s="607" t="s">
        <v>588</v>
      </c>
      <c r="E88" s="315">
        <v>5</v>
      </c>
      <c r="F88" s="468">
        <v>7</v>
      </c>
      <c r="G88" s="290">
        <f>+F88/E88*100</f>
        <v>140</v>
      </c>
      <c r="H88" s="38">
        <v>80000</v>
      </c>
      <c r="I88" s="277">
        <v>14043</v>
      </c>
      <c r="J88" s="290">
        <f t="shared" si="3"/>
        <v>17.553750000000001</v>
      </c>
    </row>
    <row r="89" spans="1:10" ht="27.75" customHeight="1" x14ac:dyDescent="0.2">
      <c r="A89" s="367">
        <v>2</v>
      </c>
      <c r="B89" s="35" t="s">
        <v>601</v>
      </c>
      <c r="C89" s="168"/>
      <c r="D89" s="168"/>
      <c r="E89" s="368"/>
      <c r="F89" s="368"/>
      <c r="G89" s="314"/>
      <c r="H89" s="41">
        <f>H90+H93</f>
        <v>290000</v>
      </c>
      <c r="I89" s="306">
        <f>I90+I93+I98</f>
        <v>285014.64999999997</v>
      </c>
      <c r="J89" s="314">
        <f t="shared" si="3"/>
        <v>98.280913793103437</v>
      </c>
    </row>
    <row r="90" spans="1:10" ht="26.25" customHeight="1" x14ac:dyDescent="0.2">
      <c r="A90" s="538">
        <v>2.1</v>
      </c>
      <c r="B90" s="378" t="s">
        <v>607</v>
      </c>
      <c r="C90" s="372"/>
      <c r="D90" s="372"/>
      <c r="E90" s="373"/>
      <c r="F90" s="375"/>
      <c r="G90" s="382"/>
      <c r="H90" s="376">
        <f>H91+H92</f>
        <v>110000</v>
      </c>
      <c r="I90" s="278">
        <f>SUM(I91,I92)</f>
        <v>40000</v>
      </c>
      <c r="J90" s="303">
        <f t="shared" si="3"/>
        <v>36.363636363636367</v>
      </c>
    </row>
    <row r="91" spans="1:10" ht="30" customHeight="1" x14ac:dyDescent="0.2">
      <c r="A91" s="76" t="s">
        <v>523</v>
      </c>
      <c r="B91" s="604" t="s">
        <v>1035</v>
      </c>
      <c r="C91" s="164" t="s">
        <v>218</v>
      </c>
      <c r="D91" s="607" t="s">
        <v>248</v>
      </c>
      <c r="E91" s="315">
        <v>1</v>
      </c>
      <c r="F91" s="468">
        <v>1</v>
      </c>
      <c r="G91" s="290">
        <f>+F91/E91*100</f>
        <v>100</v>
      </c>
      <c r="H91" s="38">
        <v>40000</v>
      </c>
      <c r="I91" s="277">
        <v>30000</v>
      </c>
      <c r="J91" s="290">
        <f t="shared" si="3"/>
        <v>75</v>
      </c>
    </row>
    <row r="92" spans="1:10" ht="25.5" customHeight="1" x14ac:dyDescent="0.2">
      <c r="A92" s="76" t="s">
        <v>524</v>
      </c>
      <c r="B92" s="604" t="s">
        <v>1036</v>
      </c>
      <c r="C92" s="164" t="s">
        <v>218</v>
      </c>
      <c r="D92" s="607" t="s">
        <v>584</v>
      </c>
      <c r="E92" s="315">
        <v>20</v>
      </c>
      <c r="F92" s="468">
        <v>8</v>
      </c>
      <c r="G92" s="290">
        <f>+F92/E92*100</f>
        <v>40</v>
      </c>
      <c r="H92" s="38">
        <v>70000</v>
      </c>
      <c r="I92" s="277">
        <v>10000</v>
      </c>
      <c r="J92" s="290">
        <f t="shared" si="3"/>
        <v>14.285714285714285</v>
      </c>
    </row>
    <row r="93" spans="1:10" ht="17.25" customHeight="1" x14ac:dyDescent="0.2">
      <c r="A93" s="538">
        <v>2.2000000000000002</v>
      </c>
      <c r="B93" s="371" t="s">
        <v>1037</v>
      </c>
      <c r="C93" s="372"/>
      <c r="D93" s="372"/>
      <c r="E93" s="373"/>
      <c r="F93" s="373"/>
      <c r="G93" s="316"/>
      <c r="H93" s="45">
        <f>H94+H95+H96+H97</f>
        <v>180000</v>
      </c>
      <c r="I93" s="278">
        <f>SUM(I94,I95,I96,I97)</f>
        <v>58906.2</v>
      </c>
      <c r="J93" s="303">
        <f t="shared" si="3"/>
        <v>32.725666666666662</v>
      </c>
    </row>
    <row r="94" spans="1:10" ht="18.75" customHeight="1" x14ac:dyDescent="0.2">
      <c r="A94" s="76" t="s">
        <v>525</v>
      </c>
      <c r="B94" s="604" t="s">
        <v>602</v>
      </c>
      <c r="C94" s="164" t="s">
        <v>218</v>
      </c>
      <c r="D94" s="607" t="s">
        <v>248</v>
      </c>
      <c r="E94" s="315">
        <v>1</v>
      </c>
      <c r="F94" s="468">
        <v>1</v>
      </c>
      <c r="G94" s="290">
        <f t="shared" ref="G94:G100" si="4">+F94/E94*100</f>
        <v>100</v>
      </c>
      <c r="H94" s="38">
        <v>30000</v>
      </c>
      <c r="I94" s="277">
        <v>30000</v>
      </c>
      <c r="J94" s="290">
        <f t="shared" ref="J94:J105" si="5">+I94/H94*100</f>
        <v>100</v>
      </c>
    </row>
    <row r="95" spans="1:10" ht="21" customHeight="1" x14ac:dyDescent="0.2">
      <c r="A95" s="76" t="s">
        <v>527</v>
      </c>
      <c r="B95" s="19" t="s">
        <v>1038</v>
      </c>
      <c r="C95" s="164" t="s">
        <v>218</v>
      </c>
      <c r="D95" s="607" t="s">
        <v>584</v>
      </c>
      <c r="E95" s="315">
        <v>20</v>
      </c>
      <c r="F95" s="468">
        <v>7</v>
      </c>
      <c r="G95" s="290">
        <f t="shared" si="4"/>
        <v>35</v>
      </c>
      <c r="H95" s="38">
        <v>50000</v>
      </c>
      <c r="I95" s="277">
        <v>5500</v>
      </c>
      <c r="J95" s="290">
        <f t="shared" si="5"/>
        <v>11</v>
      </c>
    </row>
    <row r="96" spans="1:10" ht="18.75" customHeight="1" x14ac:dyDescent="0.2">
      <c r="A96" s="76" t="s">
        <v>528</v>
      </c>
      <c r="B96" s="604" t="s">
        <v>603</v>
      </c>
      <c r="C96" s="164" t="s">
        <v>218</v>
      </c>
      <c r="D96" s="607" t="s">
        <v>415</v>
      </c>
      <c r="E96" s="315">
        <v>3</v>
      </c>
      <c r="F96" s="468">
        <v>8</v>
      </c>
      <c r="G96" s="290">
        <f t="shared" si="4"/>
        <v>266.66666666666663</v>
      </c>
      <c r="H96" s="38">
        <v>50000</v>
      </c>
      <c r="I96" s="277">
        <v>12000</v>
      </c>
      <c r="J96" s="290">
        <f t="shared" si="5"/>
        <v>24</v>
      </c>
    </row>
    <row r="97" spans="1:10" ht="18.75" customHeight="1" x14ac:dyDescent="0.2">
      <c r="A97" s="76" t="s">
        <v>529</v>
      </c>
      <c r="B97" s="604" t="s">
        <v>604</v>
      </c>
      <c r="C97" s="164" t="s">
        <v>218</v>
      </c>
      <c r="D97" s="607" t="s">
        <v>415</v>
      </c>
      <c r="E97" s="315">
        <v>10</v>
      </c>
      <c r="F97" s="468">
        <v>10</v>
      </c>
      <c r="G97" s="290">
        <f t="shared" si="4"/>
        <v>100</v>
      </c>
      <c r="H97" s="38">
        <v>50000</v>
      </c>
      <c r="I97" s="277">
        <v>11406.2</v>
      </c>
      <c r="J97" s="290">
        <f t="shared" si="5"/>
        <v>22.812400000000004</v>
      </c>
    </row>
    <row r="98" spans="1:10" ht="18.75" customHeight="1" x14ac:dyDescent="0.2">
      <c r="A98" s="538">
        <v>2.2999999999999998</v>
      </c>
      <c r="B98" s="371" t="s">
        <v>1946</v>
      </c>
      <c r="C98" s="164"/>
      <c r="D98" s="607"/>
      <c r="E98" s="315"/>
      <c r="F98" s="468"/>
      <c r="G98" s="290"/>
      <c r="H98" s="45">
        <f>H99+H100</f>
        <v>418697.2</v>
      </c>
      <c r="I98" s="278">
        <f>I99+I100</f>
        <v>186108.44999999998</v>
      </c>
      <c r="J98" s="303">
        <f t="shared" si="5"/>
        <v>44.449413561877172</v>
      </c>
    </row>
    <row r="99" spans="1:10" ht="18" customHeight="1" x14ac:dyDescent="0.2">
      <c r="A99" s="750" t="s">
        <v>1947</v>
      </c>
      <c r="B99" s="604" t="s">
        <v>1935</v>
      </c>
      <c r="C99" s="183" t="s">
        <v>46</v>
      </c>
      <c r="D99" s="183" t="s">
        <v>1789</v>
      </c>
      <c r="E99" s="568">
        <v>8</v>
      </c>
      <c r="F99" s="568">
        <v>8</v>
      </c>
      <c r="G99" s="290">
        <f t="shared" si="4"/>
        <v>100</v>
      </c>
      <c r="H99" s="124">
        <v>406716</v>
      </c>
      <c r="I99" s="83">
        <v>177532.15</v>
      </c>
      <c r="J99" s="290">
        <f t="shared" si="5"/>
        <v>43.650151457036358</v>
      </c>
    </row>
    <row r="100" spans="1:10" ht="18" customHeight="1" x14ac:dyDescent="0.2">
      <c r="A100" s="750" t="s">
        <v>1948</v>
      </c>
      <c r="B100" s="604" t="s">
        <v>1786</v>
      </c>
      <c r="C100" s="183" t="s">
        <v>46</v>
      </c>
      <c r="D100" s="183" t="s">
        <v>1949</v>
      </c>
      <c r="E100" s="568">
        <v>8</v>
      </c>
      <c r="F100" s="568">
        <v>8</v>
      </c>
      <c r="G100" s="290">
        <f t="shared" si="4"/>
        <v>100</v>
      </c>
      <c r="H100" s="83">
        <v>11981.2</v>
      </c>
      <c r="I100" s="83">
        <v>8576.2999999999993</v>
      </c>
      <c r="J100" s="290">
        <f t="shared" si="5"/>
        <v>71.581310720128187</v>
      </c>
    </row>
    <row r="101" spans="1:10" ht="25.5" x14ac:dyDescent="0.2">
      <c r="A101" s="391">
        <v>3</v>
      </c>
      <c r="B101" s="379" t="s">
        <v>1936</v>
      </c>
      <c r="C101" s="540"/>
      <c r="D101" s="540"/>
      <c r="E101" s="618"/>
      <c r="F101" s="618"/>
      <c r="G101" s="705"/>
      <c r="H101" s="478">
        <f>H102+H103+H104</f>
        <v>427208</v>
      </c>
      <c r="I101" s="306">
        <f>I102+I103+I104</f>
        <v>125298.90999999999</v>
      </c>
      <c r="J101" s="314">
        <f t="shared" si="5"/>
        <v>29.329719949064621</v>
      </c>
    </row>
    <row r="102" spans="1:10" ht="19.5" customHeight="1" x14ac:dyDescent="0.2">
      <c r="A102" s="351">
        <v>3.1</v>
      </c>
      <c r="B102" s="605" t="s">
        <v>1937</v>
      </c>
      <c r="C102" s="164" t="s">
        <v>218</v>
      </c>
      <c r="D102" s="183" t="s">
        <v>2279</v>
      </c>
      <c r="E102" s="568">
        <v>1</v>
      </c>
      <c r="F102" s="568">
        <v>1</v>
      </c>
      <c r="G102" s="42">
        <v>100</v>
      </c>
      <c r="H102" s="122">
        <v>378208</v>
      </c>
      <c r="I102" s="273">
        <v>98798</v>
      </c>
      <c r="J102" s="290">
        <f t="shared" si="5"/>
        <v>26.12266266181572</v>
      </c>
    </row>
    <row r="103" spans="1:10" ht="20.25" customHeight="1" x14ac:dyDescent="0.2">
      <c r="A103" s="350">
        <v>3.2</v>
      </c>
      <c r="B103" s="605" t="s">
        <v>1935</v>
      </c>
      <c r="C103" s="164" t="s">
        <v>218</v>
      </c>
      <c r="D103" s="161" t="s">
        <v>1789</v>
      </c>
      <c r="E103" s="286">
        <v>3</v>
      </c>
      <c r="F103" s="286">
        <v>3</v>
      </c>
      <c r="G103" s="42">
        <v>100</v>
      </c>
      <c r="H103" s="751">
        <v>47000</v>
      </c>
      <c r="I103" s="536">
        <v>25269.71</v>
      </c>
      <c r="J103" s="290">
        <f t="shared" si="5"/>
        <v>53.765340425531917</v>
      </c>
    </row>
    <row r="104" spans="1:10" ht="19.5" customHeight="1" x14ac:dyDescent="0.2">
      <c r="A104" s="350">
        <v>3.3</v>
      </c>
      <c r="B104" s="605" t="s">
        <v>1786</v>
      </c>
      <c r="C104" s="164" t="s">
        <v>218</v>
      </c>
      <c r="D104" s="161" t="s">
        <v>1949</v>
      </c>
      <c r="E104" s="286">
        <v>3</v>
      </c>
      <c r="F104" s="286">
        <v>3</v>
      </c>
      <c r="G104" s="42">
        <v>100</v>
      </c>
      <c r="H104" s="751">
        <v>2000</v>
      </c>
      <c r="I104" s="536">
        <v>1231.2</v>
      </c>
      <c r="J104" s="290">
        <f t="shared" si="5"/>
        <v>61.56</v>
      </c>
    </row>
    <row r="105" spans="1:10" ht="19.5" customHeight="1" x14ac:dyDescent="0.2">
      <c r="A105" s="391">
        <v>4</v>
      </c>
      <c r="B105" s="412" t="s">
        <v>1938</v>
      </c>
      <c r="C105" s="164"/>
      <c r="D105" s="540"/>
      <c r="E105" s="618"/>
      <c r="F105" s="618"/>
      <c r="G105" s="752"/>
      <c r="H105" s="478">
        <f>H106+H107+H108+H109+H110</f>
        <v>64000</v>
      </c>
      <c r="I105" s="393">
        <f>I106+I107+I108+I109+I110</f>
        <v>24470.230000000003</v>
      </c>
      <c r="J105" s="314">
        <f t="shared" si="5"/>
        <v>38.234734375000009</v>
      </c>
    </row>
    <row r="106" spans="1:10" ht="17.25" customHeight="1" x14ac:dyDescent="0.2">
      <c r="A106" s="485">
        <v>4.0999999999999996</v>
      </c>
      <c r="B106" s="485" t="s">
        <v>1945</v>
      </c>
      <c r="C106" s="164" t="s">
        <v>218</v>
      </c>
      <c r="D106" s="183" t="s">
        <v>1789</v>
      </c>
      <c r="E106" s="286">
        <v>1</v>
      </c>
      <c r="F106" s="286">
        <v>0.5</v>
      </c>
      <c r="G106" s="42">
        <f>+F106/E106*100</f>
        <v>50</v>
      </c>
      <c r="H106" s="124">
        <v>1500</v>
      </c>
      <c r="I106" s="83">
        <v>293</v>
      </c>
      <c r="J106" s="753">
        <v>19.5</v>
      </c>
    </row>
    <row r="107" spans="1:10" ht="21" customHeight="1" x14ac:dyDescent="0.2">
      <c r="A107" s="485">
        <v>4.2</v>
      </c>
      <c r="B107" s="485" t="s">
        <v>1939</v>
      </c>
      <c r="C107" s="164" t="s">
        <v>218</v>
      </c>
      <c r="D107" s="183" t="s">
        <v>1789</v>
      </c>
      <c r="E107" s="286">
        <v>6</v>
      </c>
      <c r="F107" s="286">
        <v>4</v>
      </c>
      <c r="G107" s="42">
        <f>+F107/E107*100</f>
        <v>66.666666666666657</v>
      </c>
      <c r="H107" s="124">
        <v>8500</v>
      </c>
      <c r="I107" s="83">
        <v>1856.8</v>
      </c>
      <c r="J107" s="753">
        <v>21.8</v>
      </c>
    </row>
    <row r="108" spans="1:10" ht="16.5" customHeight="1" x14ac:dyDescent="0.2">
      <c r="A108" s="485">
        <v>4.3</v>
      </c>
      <c r="B108" s="485" t="s">
        <v>454</v>
      </c>
      <c r="C108" s="164" t="s">
        <v>218</v>
      </c>
      <c r="D108" s="183" t="s">
        <v>1789</v>
      </c>
      <c r="E108" s="568">
        <v>2</v>
      </c>
      <c r="F108" s="568">
        <v>0.5</v>
      </c>
      <c r="G108" s="42">
        <f>+F108/E108*100</f>
        <v>25</v>
      </c>
      <c r="H108" s="16">
        <v>25000</v>
      </c>
      <c r="I108" s="42">
        <v>6000</v>
      </c>
      <c r="J108" s="527">
        <v>24</v>
      </c>
    </row>
    <row r="109" spans="1:10" ht="18.75" customHeight="1" x14ac:dyDescent="0.2">
      <c r="A109" s="13">
        <v>4.4000000000000004</v>
      </c>
      <c r="B109" s="485" t="s">
        <v>1935</v>
      </c>
      <c r="C109" s="164" t="s">
        <v>218</v>
      </c>
      <c r="D109" s="183" t="s">
        <v>1789</v>
      </c>
      <c r="E109" s="568">
        <v>2</v>
      </c>
      <c r="F109" s="568">
        <v>1</v>
      </c>
      <c r="G109" s="42">
        <f>+F109/E109*100</f>
        <v>50</v>
      </c>
      <c r="H109" s="16">
        <v>28500</v>
      </c>
      <c r="I109" s="42">
        <v>15910.03</v>
      </c>
      <c r="J109" s="527">
        <v>55.82</v>
      </c>
    </row>
    <row r="110" spans="1:10" ht="20.25" customHeight="1" x14ac:dyDescent="0.2">
      <c r="A110" s="485">
        <v>4.5</v>
      </c>
      <c r="B110" s="485" t="s">
        <v>1786</v>
      </c>
      <c r="C110" s="164" t="s">
        <v>218</v>
      </c>
      <c r="D110" s="183" t="s">
        <v>1789</v>
      </c>
      <c r="E110" s="568">
        <v>2</v>
      </c>
      <c r="F110" s="568">
        <v>1.7</v>
      </c>
      <c r="G110" s="42">
        <f>+F110/E110*100</f>
        <v>85</v>
      </c>
      <c r="H110" s="63">
        <v>500</v>
      </c>
      <c r="I110" s="42">
        <v>410.4</v>
      </c>
      <c r="J110" s="527">
        <v>82.08</v>
      </c>
    </row>
    <row r="111" spans="1:10" x14ac:dyDescent="0.2">
      <c r="C111" s="3"/>
      <c r="D111" s="381"/>
      <c r="E111" s="3"/>
    </row>
    <row r="112" spans="1:10" x14ac:dyDescent="0.2">
      <c r="C112" s="3"/>
      <c r="E112" s="3"/>
    </row>
    <row r="113" spans="3:5" x14ac:dyDescent="0.2">
      <c r="C113" s="3"/>
      <c r="E113" s="3"/>
    </row>
    <row r="114" spans="3:5" x14ac:dyDescent="0.2">
      <c r="C114" s="3"/>
      <c r="E114" s="3"/>
    </row>
    <row r="115" spans="3:5" x14ac:dyDescent="0.2">
      <c r="C115" s="3"/>
      <c r="E115" s="3"/>
    </row>
    <row r="116" spans="3:5" x14ac:dyDescent="0.2">
      <c r="C116" s="3"/>
      <c r="E116" s="3"/>
    </row>
    <row r="117" spans="3:5" x14ac:dyDescent="0.2">
      <c r="C117" s="3"/>
      <c r="E117" s="3"/>
    </row>
    <row r="118" spans="3:5" x14ac:dyDescent="0.2">
      <c r="C118" s="3"/>
      <c r="E118" s="3"/>
    </row>
    <row r="119" spans="3:5" x14ac:dyDescent="0.2">
      <c r="C119" s="3"/>
      <c r="E119" s="3"/>
    </row>
    <row r="120" spans="3:5" x14ac:dyDescent="0.2">
      <c r="C120" s="3"/>
      <c r="E120" s="3"/>
    </row>
    <row r="121" spans="3:5" x14ac:dyDescent="0.2">
      <c r="C121" s="3"/>
      <c r="E121" s="3"/>
    </row>
    <row r="122" spans="3:5" x14ac:dyDescent="0.2">
      <c r="C122" s="3"/>
      <c r="E122" s="3"/>
    </row>
    <row r="123" spans="3:5" x14ac:dyDescent="0.2">
      <c r="C123" s="3"/>
      <c r="E123" s="3"/>
    </row>
    <row r="124" spans="3:5" x14ac:dyDescent="0.2">
      <c r="C124" s="3"/>
      <c r="E124" s="3"/>
    </row>
    <row r="125" spans="3:5" x14ac:dyDescent="0.2">
      <c r="C125" s="3"/>
      <c r="E125" s="3"/>
    </row>
    <row r="126" spans="3:5" x14ac:dyDescent="0.2">
      <c r="C126" s="3"/>
      <c r="E126" s="3"/>
    </row>
    <row r="127" spans="3:5" x14ac:dyDescent="0.2">
      <c r="C127" s="3"/>
      <c r="E127" s="3"/>
    </row>
    <row r="128" spans="3:5" x14ac:dyDescent="0.2">
      <c r="C128" s="3"/>
      <c r="E128" s="3"/>
    </row>
    <row r="129" spans="3:5" x14ac:dyDescent="0.2">
      <c r="C129" s="3"/>
      <c r="E129" s="3"/>
    </row>
    <row r="130" spans="3:5" x14ac:dyDescent="0.2">
      <c r="C130" s="3"/>
      <c r="E130" s="3"/>
    </row>
    <row r="131" spans="3:5" x14ac:dyDescent="0.2">
      <c r="C131" s="3"/>
      <c r="E131" s="3"/>
    </row>
    <row r="132" spans="3:5" x14ac:dyDescent="0.2">
      <c r="C132" s="3"/>
      <c r="E132" s="3"/>
    </row>
    <row r="133" spans="3:5" x14ac:dyDescent="0.2">
      <c r="C133" s="3"/>
      <c r="E133" s="3"/>
    </row>
    <row r="134" spans="3:5" x14ac:dyDescent="0.2">
      <c r="C134" s="3"/>
      <c r="E134" s="3"/>
    </row>
    <row r="135" spans="3:5" x14ac:dyDescent="0.2">
      <c r="C135" s="3"/>
      <c r="E135" s="3"/>
    </row>
    <row r="136" spans="3:5" x14ac:dyDescent="0.2">
      <c r="C136" s="3"/>
      <c r="E136" s="3"/>
    </row>
    <row r="137" spans="3:5" x14ac:dyDescent="0.2">
      <c r="C137" s="3"/>
      <c r="E137" s="3"/>
    </row>
    <row r="138" spans="3:5" x14ac:dyDescent="0.2">
      <c r="C138" s="3"/>
      <c r="E138" s="3"/>
    </row>
    <row r="139" spans="3:5" x14ac:dyDescent="0.2">
      <c r="C139" s="3"/>
      <c r="E139" s="3"/>
    </row>
    <row r="140" spans="3:5" x14ac:dyDescent="0.2">
      <c r="C140" s="3"/>
      <c r="E140" s="3"/>
    </row>
    <row r="141" spans="3:5" x14ac:dyDescent="0.2">
      <c r="C141" s="3"/>
      <c r="E141" s="3"/>
    </row>
    <row r="142" spans="3:5" x14ac:dyDescent="0.2">
      <c r="C142" s="3"/>
      <c r="E142" s="3"/>
    </row>
    <row r="143" spans="3:5" x14ac:dyDescent="0.2">
      <c r="C143" s="3"/>
      <c r="E143" s="3"/>
    </row>
    <row r="144" spans="3:5" x14ac:dyDescent="0.2">
      <c r="C144" s="3"/>
      <c r="E144" s="3"/>
    </row>
    <row r="145" spans="3:5" x14ac:dyDescent="0.2">
      <c r="C145" s="3"/>
      <c r="E145" s="3"/>
    </row>
    <row r="146" spans="3:5" x14ac:dyDescent="0.2">
      <c r="C146" s="3"/>
      <c r="E146" s="3"/>
    </row>
    <row r="147" spans="3:5" x14ac:dyDescent="0.2">
      <c r="C147" s="3"/>
      <c r="E147" s="3"/>
    </row>
    <row r="148" spans="3:5" x14ac:dyDescent="0.2">
      <c r="C148" s="3"/>
      <c r="E148" s="3"/>
    </row>
    <row r="149" spans="3:5" x14ac:dyDescent="0.2">
      <c r="C149" s="3"/>
      <c r="E149" s="3"/>
    </row>
    <row r="150" spans="3:5" x14ac:dyDescent="0.2">
      <c r="C150" s="3"/>
      <c r="E150" s="3"/>
    </row>
    <row r="151" spans="3:5" x14ac:dyDescent="0.2">
      <c r="C151" s="3"/>
      <c r="E151" s="3"/>
    </row>
    <row r="152" spans="3:5" x14ac:dyDescent="0.2">
      <c r="C152" s="3"/>
      <c r="E152" s="3"/>
    </row>
    <row r="153" spans="3:5" x14ac:dyDescent="0.2">
      <c r="C153" s="3"/>
      <c r="E153" s="3"/>
    </row>
    <row r="154" spans="3:5" x14ac:dyDescent="0.2">
      <c r="C154" s="3"/>
      <c r="E154" s="3"/>
    </row>
    <row r="155" spans="3:5" x14ac:dyDescent="0.2">
      <c r="C155" s="3"/>
      <c r="E155" s="3"/>
    </row>
    <row r="156" spans="3:5" x14ac:dyDescent="0.2">
      <c r="C156" s="3"/>
      <c r="E156" s="3"/>
    </row>
    <row r="157" spans="3:5" x14ac:dyDescent="0.2">
      <c r="C157" s="3"/>
      <c r="E157" s="3"/>
    </row>
    <row r="158" spans="3:5" x14ac:dyDescent="0.2">
      <c r="C158" s="3"/>
      <c r="E158" s="3"/>
    </row>
    <row r="159" spans="3:5" x14ac:dyDescent="0.2">
      <c r="C159" s="3"/>
      <c r="E159" s="3"/>
    </row>
    <row r="160" spans="3:5" x14ac:dyDescent="0.2">
      <c r="C160" s="3"/>
      <c r="E160" s="3"/>
    </row>
    <row r="161" spans="3:5" x14ac:dyDescent="0.2">
      <c r="C161" s="3"/>
      <c r="E161" s="3"/>
    </row>
    <row r="162" spans="3:5" x14ac:dyDescent="0.2">
      <c r="C162" s="3"/>
      <c r="E162" s="3"/>
    </row>
    <row r="163" spans="3:5" x14ac:dyDescent="0.2">
      <c r="C163" s="3"/>
      <c r="E163" s="3"/>
    </row>
    <row r="164" spans="3:5" x14ac:dyDescent="0.2">
      <c r="C164" s="3"/>
      <c r="E164" s="3"/>
    </row>
    <row r="165" spans="3:5" x14ac:dyDescent="0.2">
      <c r="C165" s="3"/>
      <c r="E165" s="3"/>
    </row>
    <row r="166" spans="3:5" x14ac:dyDescent="0.2">
      <c r="C166" s="3"/>
      <c r="E166" s="3"/>
    </row>
    <row r="167" spans="3:5" x14ac:dyDescent="0.2">
      <c r="C167" s="3"/>
      <c r="E167" s="3"/>
    </row>
    <row r="168" spans="3:5" x14ac:dyDescent="0.2">
      <c r="C168" s="3"/>
      <c r="E168" s="3"/>
    </row>
    <row r="169" spans="3:5" x14ac:dyDescent="0.2">
      <c r="C169" s="3"/>
      <c r="E169" s="3"/>
    </row>
    <row r="170" spans="3:5" x14ac:dyDescent="0.2">
      <c r="C170" s="3"/>
      <c r="E170" s="3"/>
    </row>
    <row r="171" spans="3:5" x14ac:dyDescent="0.2">
      <c r="C171" s="3"/>
      <c r="E171" s="3"/>
    </row>
    <row r="172" spans="3:5" x14ac:dyDescent="0.2">
      <c r="C172" s="3"/>
      <c r="E172" s="3"/>
    </row>
    <row r="173" spans="3:5" x14ac:dyDescent="0.2">
      <c r="C173" s="3"/>
      <c r="E173" s="3"/>
    </row>
    <row r="174" spans="3:5" x14ac:dyDescent="0.2">
      <c r="C174" s="3"/>
      <c r="E174" s="3"/>
    </row>
    <row r="175" spans="3:5" x14ac:dyDescent="0.2">
      <c r="C175" s="3"/>
      <c r="E175" s="3"/>
    </row>
    <row r="176" spans="3:5" x14ac:dyDescent="0.2">
      <c r="C176" s="3"/>
      <c r="E176" s="3"/>
    </row>
    <row r="177" spans="3:5" x14ac:dyDescent="0.2">
      <c r="C177" s="3"/>
      <c r="E177" s="3"/>
    </row>
    <row r="178" spans="3:5" x14ac:dyDescent="0.2">
      <c r="C178" s="3"/>
      <c r="E178" s="3"/>
    </row>
    <row r="179" spans="3:5" x14ac:dyDescent="0.2">
      <c r="C179" s="3"/>
      <c r="E179" s="3"/>
    </row>
    <row r="180" spans="3:5" x14ac:dyDescent="0.2">
      <c r="C180" s="3"/>
      <c r="E180" s="3"/>
    </row>
    <row r="181" spans="3:5" x14ac:dyDescent="0.2">
      <c r="C181" s="3"/>
      <c r="E181" s="3"/>
    </row>
    <row r="182" spans="3:5" x14ac:dyDescent="0.2">
      <c r="C182" s="3"/>
      <c r="E182" s="3"/>
    </row>
    <row r="183" spans="3:5" x14ac:dyDescent="0.2">
      <c r="C183" s="3"/>
      <c r="E183" s="3"/>
    </row>
    <row r="184" spans="3:5" x14ac:dyDescent="0.2">
      <c r="C184" s="3"/>
      <c r="E184" s="3"/>
    </row>
    <row r="185" spans="3:5" x14ac:dyDescent="0.2">
      <c r="C185" s="3"/>
      <c r="E185" s="3"/>
    </row>
    <row r="186" spans="3:5" x14ac:dyDescent="0.2">
      <c r="C186" s="3"/>
      <c r="E186" s="3"/>
    </row>
    <row r="187" spans="3:5" x14ac:dyDescent="0.2">
      <c r="C187" s="3"/>
      <c r="E187" s="3"/>
    </row>
    <row r="188" spans="3:5" x14ac:dyDescent="0.2">
      <c r="C188" s="3"/>
      <c r="E188" s="3"/>
    </row>
  </sheetData>
  <mergeCells count="42">
    <mergeCell ref="D5:G5"/>
    <mergeCell ref="H5:J5"/>
    <mergeCell ref="A3:J3"/>
    <mergeCell ref="A4:J4"/>
    <mergeCell ref="A2:B2"/>
    <mergeCell ref="A5:A6"/>
    <mergeCell ref="B5:B6"/>
    <mergeCell ref="C5:C6"/>
    <mergeCell ref="A12:A18"/>
    <mergeCell ref="B12:B18"/>
    <mergeCell ref="A19:A21"/>
    <mergeCell ref="B19:B21"/>
    <mergeCell ref="A7:B7"/>
    <mergeCell ref="A78:B78"/>
    <mergeCell ref="A22:A24"/>
    <mergeCell ref="B22:B24"/>
    <mergeCell ref="A25:A26"/>
    <mergeCell ref="B25:B26"/>
    <mergeCell ref="A27:A30"/>
    <mergeCell ref="B27:B30"/>
    <mergeCell ref="A31:A32"/>
    <mergeCell ref="B31:B32"/>
    <mergeCell ref="A33:A37"/>
    <mergeCell ref="B33:B37"/>
    <mergeCell ref="A46:A50"/>
    <mergeCell ref="B46:B50"/>
    <mergeCell ref="A53:A54"/>
    <mergeCell ref="B53:B54"/>
    <mergeCell ref="A55:A58"/>
    <mergeCell ref="C33:C34"/>
    <mergeCell ref="A38:A42"/>
    <mergeCell ref="B38:B42"/>
    <mergeCell ref="C38:C40"/>
    <mergeCell ref="A43:A45"/>
    <mergeCell ref="B43:B45"/>
    <mergeCell ref="A66:A67"/>
    <mergeCell ref="B66:B67"/>
    <mergeCell ref="B55:B58"/>
    <mergeCell ref="A59:A61"/>
    <mergeCell ref="B59:B61"/>
    <mergeCell ref="A63:A65"/>
    <mergeCell ref="B63:B65"/>
  </mergeCells>
  <printOptions horizontalCentered="1" verticalCentered="1"/>
  <pageMargins left="0.39370078740157483" right="0.70866141732283472" top="0.94488188976377963" bottom="0.62992125984251968" header="0.31496062992125984" footer="0.15748031496062992"/>
  <pageSetup paperSize="9" scale="74" orientation="landscape" r:id="rId1"/>
  <headerFooter>
    <oddHeader>&amp;L&amp;G</oddHeader>
    <oddFooter>&amp;L&amp;G</oddFooter>
  </headerFooter>
  <rowBreaks count="3" manualBreakCount="3">
    <brk id="24" max="16383" man="1"/>
    <brk id="45" max="16383" man="1"/>
    <brk id="68"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9" tint="0.79998168889431442"/>
  </sheetPr>
  <dimension ref="A2:IE95"/>
  <sheetViews>
    <sheetView showZeros="0" view="pageBreakPreview" topLeftCell="A6" zoomScale="60" zoomScaleNormal="100" workbookViewId="0">
      <selection activeCell="N15" sqref="N15"/>
    </sheetView>
  </sheetViews>
  <sheetFormatPr baseColWidth="10" defaultRowHeight="12.75" x14ac:dyDescent="0.2"/>
  <cols>
    <col min="1" max="1" width="5.7109375" style="141"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239" ht="18" customHeight="1" x14ac:dyDescent="0.2">
      <c r="A2" s="983" t="s">
        <v>29</v>
      </c>
      <c r="B2" s="983"/>
      <c r="C2" s="1"/>
      <c r="D2" s="150"/>
      <c r="E2" s="269"/>
      <c r="F2" s="150"/>
      <c r="G2" s="150"/>
      <c r="H2" s="271"/>
      <c r="I2" s="271"/>
      <c r="J2" s="2"/>
    </row>
    <row r="3" spans="1:239" ht="25.5" customHeight="1" x14ac:dyDescent="0.2">
      <c r="A3" s="987" t="s">
        <v>28</v>
      </c>
      <c r="B3" s="988"/>
      <c r="C3" s="988"/>
      <c r="D3" s="988"/>
      <c r="E3" s="988"/>
      <c r="F3" s="988"/>
      <c r="G3" s="988"/>
      <c r="H3" s="988"/>
      <c r="I3" s="988"/>
      <c r="J3" s="989"/>
    </row>
    <row r="4" spans="1:239" ht="18" customHeight="1" x14ac:dyDescent="0.2">
      <c r="A4" s="987" t="s">
        <v>1291</v>
      </c>
      <c r="B4" s="988"/>
      <c r="C4" s="988"/>
      <c r="D4" s="988"/>
      <c r="E4" s="988"/>
      <c r="F4" s="988"/>
      <c r="G4" s="988"/>
      <c r="H4" s="988"/>
      <c r="I4" s="988"/>
      <c r="J4" s="989"/>
    </row>
    <row r="5" spans="1:239" ht="18" customHeight="1" x14ac:dyDescent="0.2">
      <c r="A5" s="1007" t="s">
        <v>0</v>
      </c>
      <c r="B5" s="1007" t="s">
        <v>1</v>
      </c>
      <c r="C5" s="1007" t="s">
        <v>2</v>
      </c>
      <c r="D5" s="990" t="s">
        <v>1440</v>
      </c>
      <c r="E5" s="990"/>
      <c r="F5" s="990"/>
      <c r="G5" s="990"/>
      <c r="H5" s="990" t="s">
        <v>1441</v>
      </c>
      <c r="I5" s="990"/>
      <c r="J5" s="990"/>
    </row>
    <row r="6" spans="1:239" ht="24" customHeight="1" x14ac:dyDescent="0.2">
      <c r="A6" s="1008"/>
      <c r="B6" s="1008"/>
      <c r="C6" s="1008"/>
      <c r="D6" s="4" t="s">
        <v>3</v>
      </c>
      <c r="E6" s="4" t="s">
        <v>4</v>
      </c>
      <c r="F6" s="270" t="s">
        <v>1298</v>
      </c>
      <c r="G6" s="270" t="s">
        <v>1439</v>
      </c>
      <c r="H6" s="4" t="s">
        <v>1297</v>
      </c>
      <c r="I6" s="270" t="s">
        <v>1298</v>
      </c>
      <c r="J6" s="270" t="s">
        <v>1439</v>
      </c>
    </row>
    <row r="7" spans="1:239" ht="21" customHeight="1" x14ac:dyDescent="0.2">
      <c r="A7" s="1106" t="s">
        <v>1171</v>
      </c>
      <c r="B7" s="1107"/>
      <c r="C7" s="151"/>
      <c r="D7" s="151"/>
      <c r="E7" s="81"/>
      <c r="F7" s="81"/>
      <c r="G7" s="81"/>
      <c r="H7" s="67">
        <f>+H8+H31</f>
        <v>3395215</v>
      </c>
      <c r="I7" s="81">
        <f>+I8+I31</f>
        <v>2048311.44</v>
      </c>
      <c r="J7" s="333">
        <f>+I7/H7*100</f>
        <v>60.32935881821917</v>
      </c>
    </row>
    <row r="8" spans="1:239" s="134" customFormat="1" ht="18" customHeight="1" x14ac:dyDescent="0.25">
      <c r="A8" s="79"/>
      <c r="B8" s="79" t="s">
        <v>1082</v>
      </c>
      <c r="C8" s="532"/>
      <c r="D8" s="532"/>
      <c r="E8" s="754"/>
      <c r="F8" s="754"/>
      <c r="G8" s="754"/>
      <c r="H8" s="631">
        <f>SUM(H9:H31)</f>
        <v>2599110</v>
      </c>
      <c r="I8" s="632">
        <f>SUM(I9:I31)</f>
        <v>1707680.22</v>
      </c>
      <c r="J8" s="539">
        <f>+I8/H8*100</f>
        <v>65.702498932326833</v>
      </c>
    </row>
    <row r="9" spans="1:239" s="135" customFormat="1" ht="26.25" customHeight="1" x14ac:dyDescent="0.2">
      <c r="A9" s="364">
        <v>1</v>
      </c>
      <c r="B9" s="570" t="s">
        <v>1083</v>
      </c>
      <c r="C9" s="607" t="s">
        <v>40</v>
      </c>
      <c r="D9" s="607"/>
      <c r="E9" s="390"/>
      <c r="F9" s="390"/>
      <c r="G9" s="390"/>
      <c r="H9" s="37">
        <v>26000</v>
      </c>
      <c r="I9" s="273"/>
      <c r="J9" s="37"/>
    </row>
    <row r="10" spans="1:239" s="136" customFormat="1" ht="52.5" customHeight="1" x14ac:dyDescent="0.25">
      <c r="A10" s="755">
        <v>2</v>
      </c>
      <c r="B10" s="606" t="s">
        <v>1176</v>
      </c>
      <c r="C10" s="600" t="s">
        <v>1084</v>
      </c>
      <c r="D10" s="607" t="s">
        <v>1085</v>
      </c>
      <c r="E10" s="37">
        <v>2</v>
      </c>
      <c r="F10" s="390"/>
      <c r="G10" s="349">
        <f>+F10/E10*100</f>
        <v>0</v>
      </c>
      <c r="H10" s="37">
        <v>10000</v>
      </c>
      <c r="I10" s="273"/>
      <c r="J10" s="37"/>
    </row>
    <row r="11" spans="1:239" s="136" customFormat="1" ht="17.25" customHeight="1" x14ac:dyDescent="0.2">
      <c r="A11" s="1108">
        <v>3</v>
      </c>
      <c r="B11" s="1109" t="s">
        <v>1943</v>
      </c>
      <c r="C11" s="1031" t="s">
        <v>40</v>
      </c>
      <c r="D11" s="607" t="s">
        <v>1086</v>
      </c>
      <c r="E11" s="37">
        <v>1</v>
      </c>
      <c r="F11" s="390">
        <v>1</v>
      </c>
      <c r="G11" s="349">
        <f>+F11/E11*100</f>
        <v>100</v>
      </c>
      <c r="H11" s="37">
        <v>11000</v>
      </c>
      <c r="I11" s="273">
        <v>11000</v>
      </c>
      <c r="J11" s="349">
        <f>+I11/H11*100</f>
        <v>100</v>
      </c>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row>
    <row r="12" spans="1:239" s="136" customFormat="1" ht="14.25" customHeight="1" x14ac:dyDescent="0.2">
      <c r="A12" s="1108"/>
      <c r="B12" s="1110"/>
      <c r="C12" s="1032"/>
      <c r="D12" s="607" t="s">
        <v>1087</v>
      </c>
      <c r="E12" s="37">
        <v>2</v>
      </c>
      <c r="F12" s="853">
        <v>2</v>
      </c>
      <c r="G12" s="349">
        <f t="shared" ref="G12:G32" si="0">+F12/E12*100</f>
        <v>100</v>
      </c>
      <c r="H12" s="37">
        <v>5000</v>
      </c>
      <c r="I12" s="273">
        <v>5000</v>
      </c>
      <c r="J12" s="349">
        <f>+I12/H12*100</f>
        <v>100</v>
      </c>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row>
    <row r="13" spans="1:239" s="136" customFormat="1" ht="16.5" customHeight="1" x14ac:dyDescent="0.2">
      <c r="A13" s="364">
        <v>4</v>
      </c>
      <c r="B13" s="570" t="s">
        <v>1088</v>
      </c>
      <c r="C13" s="607" t="s">
        <v>40</v>
      </c>
      <c r="D13" s="607" t="s">
        <v>1090</v>
      </c>
      <c r="E13" s="390">
        <v>1</v>
      </c>
      <c r="F13" s="390"/>
      <c r="G13" s="349">
        <f t="shared" si="0"/>
        <v>0</v>
      </c>
      <c r="H13" s="37">
        <v>17500</v>
      </c>
      <c r="I13" s="273"/>
      <c r="J13" s="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row>
    <row r="14" spans="1:239" s="136" customFormat="1" ht="40.5" customHeight="1" x14ac:dyDescent="0.2">
      <c r="A14" s="1108">
        <v>5</v>
      </c>
      <c r="B14" s="1030" t="s">
        <v>1089</v>
      </c>
      <c r="C14" s="607" t="s">
        <v>40</v>
      </c>
      <c r="D14" s="607" t="s">
        <v>1090</v>
      </c>
      <c r="E14" s="37">
        <v>1</v>
      </c>
      <c r="F14" s="390">
        <v>1</v>
      </c>
      <c r="G14" s="349">
        <f t="shared" si="0"/>
        <v>100</v>
      </c>
      <c r="H14" s="37">
        <v>0</v>
      </c>
      <c r="I14" s="273"/>
      <c r="J14" s="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row>
    <row r="15" spans="1:239" s="136" customFormat="1" ht="40.5" customHeight="1" x14ac:dyDescent="0.2">
      <c r="A15" s="1108"/>
      <c r="B15" s="1030"/>
      <c r="C15" s="607" t="s">
        <v>40</v>
      </c>
      <c r="D15" s="607" t="s">
        <v>1942</v>
      </c>
      <c r="E15" s="37">
        <v>1</v>
      </c>
      <c r="F15" s="390"/>
      <c r="G15" s="349">
        <f t="shared" si="0"/>
        <v>0</v>
      </c>
      <c r="H15" s="37">
        <v>11000</v>
      </c>
      <c r="I15" s="273"/>
      <c r="J15" s="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row>
    <row r="16" spans="1:239" s="136" customFormat="1" ht="65.25" customHeight="1" x14ac:dyDescent="0.2">
      <c r="A16" s="1108"/>
      <c r="B16" s="1030"/>
      <c r="C16" s="607" t="s">
        <v>40</v>
      </c>
      <c r="D16" s="607" t="s">
        <v>222</v>
      </c>
      <c r="E16" s="37">
        <v>7</v>
      </c>
      <c r="F16" s="390"/>
      <c r="G16" s="349">
        <f t="shared" si="0"/>
        <v>0</v>
      </c>
      <c r="H16" s="37">
        <v>0</v>
      </c>
      <c r="I16" s="273"/>
      <c r="J16" s="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row>
    <row r="17" spans="1:239" s="136" customFormat="1" ht="18.75" customHeight="1" x14ac:dyDescent="0.2">
      <c r="A17" s="125">
        <v>6</v>
      </c>
      <c r="B17" s="570" t="s">
        <v>1091</v>
      </c>
      <c r="C17" s="607" t="s">
        <v>1092</v>
      </c>
      <c r="D17" s="607" t="s">
        <v>42</v>
      </c>
      <c r="E17" s="37">
        <v>10</v>
      </c>
      <c r="F17" s="390"/>
      <c r="G17" s="349"/>
      <c r="H17" s="37">
        <v>6500</v>
      </c>
      <c r="I17" s="273"/>
      <c r="J17" s="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row>
    <row r="18" spans="1:239" s="136" customFormat="1" ht="29.25" customHeight="1" x14ac:dyDescent="0.2">
      <c r="A18" s="364">
        <v>7</v>
      </c>
      <c r="B18" s="570" t="s">
        <v>1093</v>
      </c>
      <c r="C18" s="607" t="s">
        <v>40</v>
      </c>
      <c r="D18" s="607" t="s">
        <v>42</v>
      </c>
      <c r="E18" s="390">
        <v>13</v>
      </c>
      <c r="F18" s="390"/>
      <c r="G18" s="349">
        <f t="shared" si="0"/>
        <v>0</v>
      </c>
      <c r="H18" s="37">
        <v>50300</v>
      </c>
      <c r="I18" s="273"/>
      <c r="J18" s="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row>
    <row r="19" spans="1:239" s="136" customFormat="1" ht="18.75" customHeight="1" x14ac:dyDescent="0.2">
      <c r="A19" s="125">
        <v>8</v>
      </c>
      <c r="B19" s="570" t="s">
        <v>1094</v>
      </c>
      <c r="C19" s="607" t="s">
        <v>1095</v>
      </c>
      <c r="D19" s="607" t="s">
        <v>1096</v>
      </c>
      <c r="E19" s="37">
        <v>1</v>
      </c>
      <c r="F19" s="390">
        <v>1</v>
      </c>
      <c r="G19" s="349">
        <f t="shared" si="0"/>
        <v>100</v>
      </c>
      <c r="H19" s="37">
        <v>11000</v>
      </c>
      <c r="I19" s="273">
        <v>11000</v>
      </c>
      <c r="J19" s="273">
        <f>+I19/H19*100</f>
        <v>100</v>
      </c>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row>
    <row r="20" spans="1:239" s="136" customFormat="1" ht="18.75" customHeight="1" x14ac:dyDescent="0.2">
      <c r="A20" s="125">
        <v>9</v>
      </c>
      <c r="B20" s="570" t="s">
        <v>1940</v>
      </c>
      <c r="C20" s="607" t="s">
        <v>1095</v>
      </c>
      <c r="D20" s="607" t="s">
        <v>536</v>
      </c>
      <c r="E20" s="37">
        <v>6</v>
      </c>
      <c r="F20" s="390">
        <v>2</v>
      </c>
      <c r="G20" s="349">
        <f t="shared" si="0"/>
        <v>33.333333333333329</v>
      </c>
      <c r="H20" s="37">
        <v>300</v>
      </c>
      <c r="I20" s="273">
        <v>100</v>
      </c>
      <c r="J20" s="273">
        <f>+I20/H20*100</f>
        <v>33.333333333333329</v>
      </c>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row>
    <row r="21" spans="1:239" s="136" customFormat="1" ht="41.25" customHeight="1" x14ac:dyDescent="0.2">
      <c r="A21" s="125">
        <v>10</v>
      </c>
      <c r="B21" s="570" t="s">
        <v>1941</v>
      </c>
      <c r="C21" s="607" t="s">
        <v>1097</v>
      </c>
      <c r="D21" s="607" t="s">
        <v>1098</v>
      </c>
      <c r="E21" s="37">
        <v>10</v>
      </c>
      <c r="F21" s="390">
        <v>10</v>
      </c>
      <c r="G21" s="349">
        <f t="shared" si="0"/>
        <v>100</v>
      </c>
      <c r="H21" s="37">
        <v>6000</v>
      </c>
      <c r="I21" s="273">
        <v>6000</v>
      </c>
      <c r="J21" s="273">
        <f>+I21/H21*100</f>
        <v>100</v>
      </c>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row>
    <row r="22" spans="1:239" s="136" customFormat="1" ht="54.95" customHeight="1" x14ac:dyDescent="0.2">
      <c r="A22" s="125">
        <v>11</v>
      </c>
      <c r="B22" s="570" t="s">
        <v>1099</v>
      </c>
      <c r="C22" s="607" t="s">
        <v>40</v>
      </c>
      <c r="D22" s="607" t="s">
        <v>1085</v>
      </c>
      <c r="E22" s="37">
        <v>3</v>
      </c>
      <c r="F22" s="390"/>
      <c r="G22" s="349">
        <f t="shared" si="0"/>
        <v>0</v>
      </c>
      <c r="H22" s="37">
        <v>33000</v>
      </c>
      <c r="I22" s="273"/>
      <c r="J22" s="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row>
    <row r="23" spans="1:239" s="136" customFormat="1" ht="25.5" customHeight="1" x14ac:dyDescent="0.2">
      <c r="A23" s="125">
        <v>12</v>
      </c>
      <c r="B23" s="570" t="s">
        <v>1100</v>
      </c>
      <c r="C23" s="607" t="s">
        <v>40</v>
      </c>
      <c r="D23" s="607" t="s">
        <v>42</v>
      </c>
      <c r="E23" s="37">
        <v>3</v>
      </c>
      <c r="F23" s="390"/>
      <c r="G23" s="349">
        <f t="shared" si="0"/>
        <v>0</v>
      </c>
      <c r="H23" s="37">
        <v>0</v>
      </c>
      <c r="I23" s="273"/>
      <c r="J23" s="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row>
    <row r="24" spans="1:239" s="136" customFormat="1" ht="54.95" customHeight="1" x14ac:dyDescent="0.2">
      <c r="A24" s="125">
        <v>13</v>
      </c>
      <c r="B24" s="570" t="s">
        <v>1101</v>
      </c>
      <c r="C24" s="607" t="s">
        <v>40</v>
      </c>
      <c r="D24" s="607" t="s">
        <v>733</v>
      </c>
      <c r="E24" s="37">
        <v>3</v>
      </c>
      <c r="F24" s="390">
        <v>3</v>
      </c>
      <c r="G24" s="349">
        <f t="shared" si="0"/>
        <v>100</v>
      </c>
      <c r="H24" s="37">
        <v>0</v>
      </c>
      <c r="I24" s="273"/>
      <c r="J24" s="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row>
    <row r="25" spans="1:239" s="138" customFormat="1" ht="25.5" customHeight="1" x14ac:dyDescent="0.25">
      <c r="A25" s="125">
        <v>14</v>
      </c>
      <c r="B25" s="570" t="s">
        <v>1103</v>
      </c>
      <c r="C25" s="607" t="s">
        <v>40</v>
      </c>
      <c r="D25" s="292" t="s">
        <v>248</v>
      </c>
      <c r="E25" s="783">
        <v>1</v>
      </c>
      <c r="F25" s="783"/>
      <c r="G25" s="349">
        <f t="shared" si="0"/>
        <v>0</v>
      </c>
      <c r="H25" s="122">
        <v>11000</v>
      </c>
      <c r="I25" s="311"/>
      <c r="J25" s="122"/>
    </row>
    <row r="26" spans="1:239" s="138" customFormat="1" ht="18.75" customHeight="1" x14ac:dyDescent="0.25">
      <c r="A26" s="125">
        <v>15</v>
      </c>
      <c r="B26" s="570" t="s">
        <v>1104</v>
      </c>
      <c r="C26" s="607" t="s">
        <v>40</v>
      </c>
      <c r="D26" s="292" t="s">
        <v>1002</v>
      </c>
      <c r="E26" s="783">
        <v>1</v>
      </c>
      <c r="F26" s="783"/>
      <c r="G26" s="349">
        <f t="shared" si="0"/>
        <v>0</v>
      </c>
      <c r="H26" s="122">
        <v>20000</v>
      </c>
      <c r="I26" s="311"/>
      <c r="J26" s="122"/>
    </row>
    <row r="27" spans="1:239" s="138" customFormat="1" ht="27.75" customHeight="1" x14ac:dyDescent="0.25">
      <c r="A27" s="125">
        <v>16</v>
      </c>
      <c r="B27" s="570" t="s">
        <v>1105</v>
      </c>
      <c r="C27" s="607" t="s">
        <v>40</v>
      </c>
      <c r="D27" s="292" t="s">
        <v>90</v>
      </c>
      <c r="E27" s="783">
        <v>1</v>
      </c>
      <c r="F27" s="783"/>
      <c r="G27" s="349">
        <f t="shared" si="0"/>
        <v>0</v>
      </c>
      <c r="H27" s="122">
        <v>0</v>
      </c>
      <c r="I27" s="311"/>
      <c r="J27" s="122"/>
    </row>
    <row r="28" spans="1:239" s="138" customFormat="1" ht="18.75" customHeight="1" x14ac:dyDescent="0.25">
      <c r="A28" s="125">
        <v>17</v>
      </c>
      <c r="B28" s="570" t="s">
        <v>1106</v>
      </c>
      <c r="C28" s="607" t="s">
        <v>40</v>
      </c>
      <c r="D28" s="292" t="s">
        <v>501</v>
      </c>
      <c r="E28" s="783">
        <v>2</v>
      </c>
      <c r="F28" s="783"/>
      <c r="G28" s="349">
        <f t="shared" si="0"/>
        <v>0</v>
      </c>
      <c r="H28" s="122">
        <v>0</v>
      </c>
      <c r="I28" s="311"/>
      <c r="J28" s="122"/>
    </row>
    <row r="29" spans="1:239" s="134" customFormat="1" ht="18.75" customHeight="1" x14ac:dyDescent="0.25">
      <c r="A29" s="125">
        <v>18</v>
      </c>
      <c r="B29" s="570" t="s">
        <v>1107</v>
      </c>
      <c r="C29" s="607" t="s">
        <v>40</v>
      </c>
      <c r="D29" s="292" t="s">
        <v>248</v>
      </c>
      <c r="E29" s="783">
        <v>1</v>
      </c>
      <c r="F29" s="783"/>
      <c r="G29" s="349">
        <f t="shared" si="0"/>
        <v>0</v>
      </c>
      <c r="H29" s="122">
        <v>0</v>
      </c>
      <c r="I29" s="311"/>
      <c r="J29" s="122"/>
    </row>
    <row r="30" spans="1:239" s="134" customFormat="1" ht="27.75" customHeight="1" x14ac:dyDescent="0.25">
      <c r="A30" s="125">
        <v>19</v>
      </c>
      <c r="B30" s="15" t="s">
        <v>1288</v>
      </c>
      <c r="C30" s="614" t="s">
        <v>40</v>
      </c>
      <c r="D30" s="725"/>
      <c r="E30" s="783">
        <v>1</v>
      </c>
      <c r="F30" s="729">
        <v>1</v>
      </c>
      <c r="G30" s="349">
        <f>+F30/E30*100</f>
        <v>100</v>
      </c>
      <c r="H30" s="37">
        <v>1584405</v>
      </c>
      <c r="I30" s="273">
        <v>1333949</v>
      </c>
      <c r="J30" s="273">
        <f>+I30/H30*100</f>
        <v>84.192425547760834</v>
      </c>
    </row>
    <row r="31" spans="1:239" s="134" customFormat="1" ht="18.75" customHeight="1" x14ac:dyDescent="0.25">
      <c r="A31" s="125"/>
      <c r="B31" s="53" t="s">
        <v>1285</v>
      </c>
      <c r="C31" s="607"/>
      <c r="D31" s="292"/>
      <c r="E31" s="783"/>
      <c r="F31" s="783"/>
      <c r="G31" s="349"/>
      <c r="H31" s="325">
        <f>SUM(H32:H32)</f>
        <v>796105</v>
      </c>
      <c r="I31" s="320">
        <f>SUM(I32:I32)</f>
        <v>340631.22</v>
      </c>
      <c r="J31" s="81">
        <f>+I31/H31*100</f>
        <v>42.787222790963504</v>
      </c>
    </row>
    <row r="32" spans="1:239" s="135" customFormat="1" ht="28.5" customHeight="1" x14ac:dyDescent="0.2">
      <c r="A32" s="125">
        <v>1</v>
      </c>
      <c r="B32" s="570" t="s">
        <v>1287</v>
      </c>
      <c r="C32" s="607" t="s">
        <v>40</v>
      </c>
      <c r="D32" s="607"/>
      <c r="E32" s="783">
        <v>1</v>
      </c>
      <c r="F32" s="390">
        <v>1</v>
      </c>
      <c r="G32" s="349">
        <f t="shared" si="0"/>
        <v>100</v>
      </c>
      <c r="H32" s="37">
        <v>796105</v>
      </c>
      <c r="I32" s="273">
        <v>340631.22</v>
      </c>
      <c r="J32" s="273">
        <f>+I32/H32*100</f>
        <v>42.787222790963504</v>
      </c>
    </row>
    <row r="33" spans="3:10" ht="31.5" customHeight="1" x14ac:dyDescent="0.2">
      <c r="E33" s="867"/>
      <c r="F33" s="867"/>
      <c r="G33" s="867"/>
      <c r="H33" s="867"/>
      <c r="I33" s="867"/>
      <c r="J33" s="867"/>
    </row>
    <row r="34" spans="3:10" ht="15.75" customHeight="1" x14ac:dyDescent="0.2">
      <c r="E34" s="867"/>
      <c r="F34" s="867"/>
      <c r="G34" s="867"/>
      <c r="H34" s="867"/>
      <c r="I34" s="867"/>
      <c r="J34" s="867"/>
    </row>
    <row r="35" spans="3:10" ht="40.5" customHeight="1" x14ac:dyDescent="0.2">
      <c r="E35" s="867"/>
      <c r="F35" s="867"/>
      <c r="G35" s="867"/>
      <c r="H35" s="867"/>
      <c r="I35" s="867"/>
      <c r="J35" s="867"/>
    </row>
    <row r="36" spans="3:10" x14ac:dyDescent="0.2">
      <c r="C36" s="159"/>
      <c r="E36" s="867"/>
      <c r="F36" s="867"/>
      <c r="G36" s="867"/>
      <c r="H36" s="867"/>
      <c r="I36" s="867"/>
      <c r="J36" s="867"/>
    </row>
    <row r="37" spans="3:10" x14ac:dyDescent="0.2">
      <c r="C37" s="159"/>
      <c r="E37" s="867"/>
      <c r="F37" s="867"/>
      <c r="G37" s="867"/>
      <c r="H37" s="867"/>
      <c r="I37" s="867"/>
      <c r="J37" s="867"/>
    </row>
    <row r="38" spans="3:10" x14ac:dyDescent="0.2">
      <c r="C38" s="159"/>
      <c r="E38" s="867"/>
      <c r="F38" s="867"/>
      <c r="G38" s="867"/>
      <c r="H38" s="867"/>
      <c r="I38" s="867"/>
      <c r="J38" s="867"/>
    </row>
    <row r="39" spans="3:10" x14ac:dyDescent="0.2">
      <c r="C39" s="159"/>
      <c r="E39" s="867"/>
      <c r="F39" s="867"/>
      <c r="G39" s="867"/>
      <c r="H39" s="867"/>
      <c r="I39" s="867"/>
      <c r="J39" s="867"/>
    </row>
    <row r="40" spans="3:10" x14ac:dyDescent="0.2">
      <c r="C40" s="159"/>
      <c r="E40" s="867"/>
      <c r="F40" s="867"/>
      <c r="G40" s="867"/>
      <c r="H40" s="867"/>
      <c r="I40" s="867"/>
      <c r="J40" s="867"/>
    </row>
    <row r="41" spans="3:10" x14ac:dyDescent="0.2">
      <c r="C41" s="159"/>
      <c r="E41" s="3"/>
    </row>
    <row r="42" spans="3:10" x14ac:dyDescent="0.2">
      <c r="C42" s="159"/>
      <c r="E42" s="3"/>
    </row>
    <row r="43" spans="3:10" x14ac:dyDescent="0.2">
      <c r="C43" s="159"/>
      <c r="E43" s="3"/>
    </row>
    <row r="44" spans="3:10" x14ac:dyDescent="0.2">
      <c r="C44" s="3"/>
      <c r="E44" s="3"/>
    </row>
    <row r="45" spans="3:10" x14ac:dyDescent="0.2">
      <c r="C45" s="3"/>
      <c r="E45" s="3"/>
    </row>
    <row r="46" spans="3:10" x14ac:dyDescent="0.2">
      <c r="C46" s="3"/>
      <c r="E46" s="3"/>
    </row>
    <row r="47" spans="3:10" x14ac:dyDescent="0.2">
      <c r="C47" s="3"/>
      <c r="E47" s="3"/>
    </row>
    <row r="48" spans="3:10" x14ac:dyDescent="0.2">
      <c r="C48" s="3"/>
      <c r="E48" s="3"/>
    </row>
    <row r="49" spans="3:5" x14ac:dyDescent="0.2">
      <c r="C49" s="3"/>
      <c r="E49" s="3"/>
    </row>
    <row r="50" spans="3:5" x14ac:dyDescent="0.2">
      <c r="C50" s="3"/>
      <c r="E50" s="3"/>
    </row>
    <row r="51" spans="3:5" x14ac:dyDescent="0.2">
      <c r="C51" s="3"/>
      <c r="E51" s="3"/>
    </row>
    <row r="52" spans="3:5" x14ac:dyDescent="0.2">
      <c r="C52" s="3"/>
      <c r="E52" s="3"/>
    </row>
    <row r="53" spans="3:5" x14ac:dyDescent="0.2">
      <c r="C53" s="3"/>
      <c r="E53" s="3"/>
    </row>
    <row r="54" spans="3:5" x14ac:dyDescent="0.2">
      <c r="C54" s="3"/>
      <c r="E54" s="3"/>
    </row>
    <row r="55" spans="3:5" x14ac:dyDescent="0.2">
      <c r="C55" s="3"/>
      <c r="E55" s="3"/>
    </row>
    <row r="56" spans="3:5" x14ac:dyDescent="0.2">
      <c r="C56" s="3"/>
      <c r="E56" s="3"/>
    </row>
    <row r="57" spans="3:5" x14ac:dyDescent="0.2">
      <c r="C57" s="3"/>
      <c r="E57" s="3"/>
    </row>
    <row r="58" spans="3:5" x14ac:dyDescent="0.2">
      <c r="C58" s="3"/>
      <c r="E58" s="3"/>
    </row>
    <row r="59" spans="3:5" x14ac:dyDescent="0.2">
      <c r="C59" s="3"/>
      <c r="E59" s="3"/>
    </row>
    <row r="60" spans="3:5" x14ac:dyDescent="0.2">
      <c r="C60" s="3"/>
      <c r="E60" s="3"/>
    </row>
    <row r="61" spans="3:5" x14ac:dyDescent="0.2">
      <c r="C61" s="3"/>
      <c r="E61" s="3"/>
    </row>
    <row r="62" spans="3:5" x14ac:dyDescent="0.2">
      <c r="C62" s="3"/>
      <c r="E62" s="3"/>
    </row>
    <row r="63" spans="3:5" x14ac:dyDescent="0.2">
      <c r="C63" s="3"/>
      <c r="E63" s="3"/>
    </row>
    <row r="64" spans="3:5" x14ac:dyDescent="0.2">
      <c r="C64" s="3"/>
      <c r="E64" s="3"/>
    </row>
    <row r="65" spans="3:5" x14ac:dyDescent="0.2">
      <c r="C65" s="3"/>
      <c r="E65" s="3"/>
    </row>
    <row r="66" spans="3:5" x14ac:dyDescent="0.2">
      <c r="C66" s="3"/>
      <c r="E66" s="3"/>
    </row>
    <row r="67" spans="3:5" x14ac:dyDescent="0.2">
      <c r="C67" s="3"/>
      <c r="E67" s="3"/>
    </row>
    <row r="68" spans="3:5" x14ac:dyDescent="0.2">
      <c r="C68" s="3"/>
      <c r="E68" s="3"/>
    </row>
    <row r="69" spans="3:5" x14ac:dyDescent="0.2">
      <c r="C69" s="3"/>
      <c r="E69" s="3"/>
    </row>
    <row r="70" spans="3:5" x14ac:dyDescent="0.2">
      <c r="C70" s="3"/>
      <c r="E70" s="3"/>
    </row>
    <row r="71" spans="3:5" x14ac:dyDescent="0.2">
      <c r="C71" s="3"/>
      <c r="E71" s="3"/>
    </row>
    <row r="72" spans="3:5" x14ac:dyDescent="0.2">
      <c r="C72" s="3"/>
      <c r="E72" s="3"/>
    </row>
    <row r="73" spans="3:5" x14ac:dyDescent="0.2">
      <c r="C73" s="3"/>
      <c r="E73" s="3"/>
    </row>
    <row r="74" spans="3:5" x14ac:dyDescent="0.2">
      <c r="C74" s="3"/>
      <c r="E74" s="3"/>
    </row>
    <row r="75" spans="3:5" x14ac:dyDescent="0.2">
      <c r="C75" s="3"/>
      <c r="E75" s="3"/>
    </row>
    <row r="76" spans="3:5" x14ac:dyDescent="0.2">
      <c r="C76" s="3"/>
      <c r="E76" s="3"/>
    </row>
    <row r="77" spans="3:5" x14ac:dyDescent="0.2">
      <c r="C77" s="3"/>
      <c r="E77" s="3"/>
    </row>
    <row r="78" spans="3:5" x14ac:dyDescent="0.2">
      <c r="C78" s="3"/>
      <c r="E78" s="3"/>
    </row>
    <row r="79" spans="3:5" x14ac:dyDescent="0.2">
      <c r="C79" s="3"/>
      <c r="E79" s="3"/>
    </row>
    <row r="80" spans="3:5" x14ac:dyDescent="0.2">
      <c r="C80" s="3"/>
      <c r="E80" s="3"/>
    </row>
    <row r="81" spans="3:5" x14ac:dyDescent="0.2">
      <c r="C81" s="3"/>
      <c r="E81" s="3"/>
    </row>
    <row r="82" spans="3:5" x14ac:dyDescent="0.2">
      <c r="C82" s="3"/>
      <c r="E82" s="3"/>
    </row>
    <row r="83" spans="3:5" x14ac:dyDescent="0.2">
      <c r="C83" s="3"/>
      <c r="E83" s="3"/>
    </row>
    <row r="84" spans="3:5" x14ac:dyDescent="0.2">
      <c r="C84" s="3"/>
      <c r="E84" s="3"/>
    </row>
    <row r="85" spans="3:5" x14ac:dyDescent="0.2">
      <c r="C85" s="3"/>
      <c r="E85" s="3"/>
    </row>
    <row r="86" spans="3:5" x14ac:dyDescent="0.2">
      <c r="C86" s="3"/>
      <c r="E86" s="3"/>
    </row>
    <row r="87" spans="3:5" x14ac:dyDescent="0.2">
      <c r="C87" s="3"/>
      <c r="E87" s="3"/>
    </row>
    <row r="88" spans="3:5" x14ac:dyDescent="0.2">
      <c r="C88" s="3"/>
      <c r="E88" s="3"/>
    </row>
    <row r="89" spans="3:5" x14ac:dyDescent="0.2">
      <c r="C89" s="3"/>
      <c r="E89" s="3"/>
    </row>
    <row r="90" spans="3:5" x14ac:dyDescent="0.2">
      <c r="C90" s="3"/>
      <c r="E90" s="3"/>
    </row>
    <row r="91" spans="3:5" x14ac:dyDescent="0.2">
      <c r="C91" s="3"/>
      <c r="E91" s="3"/>
    </row>
    <row r="92" spans="3:5" x14ac:dyDescent="0.2">
      <c r="C92" s="3"/>
      <c r="E92" s="3"/>
    </row>
    <row r="93" spans="3:5" x14ac:dyDescent="0.2">
      <c r="C93" s="3"/>
      <c r="E93" s="3"/>
    </row>
    <row r="94" spans="3:5" x14ac:dyDescent="0.2">
      <c r="C94" s="3"/>
      <c r="E94" s="3"/>
    </row>
    <row r="95" spans="3:5" x14ac:dyDescent="0.2">
      <c r="C95" s="3"/>
      <c r="E95" s="3"/>
    </row>
  </sheetData>
  <mergeCells count="14">
    <mergeCell ref="D5:G5"/>
    <mergeCell ref="H5:J5"/>
    <mergeCell ref="A3:J3"/>
    <mergeCell ref="A4:J4"/>
    <mergeCell ref="A2:B2"/>
    <mergeCell ref="A5:A6"/>
    <mergeCell ref="B5:B6"/>
    <mergeCell ref="C5:C6"/>
    <mergeCell ref="C11:C12"/>
    <mergeCell ref="A7:B7"/>
    <mergeCell ref="A11:A12"/>
    <mergeCell ref="B11:B12"/>
    <mergeCell ref="A14:A16"/>
    <mergeCell ref="B14:B16"/>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9" tint="0.79998168889431442"/>
  </sheetPr>
  <dimension ref="A2:K100"/>
  <sheetViews>
    <sheetView view="pageBreakPreview" zoomScale="60" zoomScaleNormal="100" workbookViewId="0">
      <selection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65" customWidth="1"/>
    <col min="9" max="9" width="13.42578125" style="65" customWidth="1"/>
    <col min="10" max="10" width="9.85546875" style="65" customWidth="1"/>
    <col min="11" max="16384" width="11.42578125" style="3"/>
  </cols>
  <sheetData>
    <row r="2" spans="1:11" ht="18" customHeight="1" x14ac:dyDescent="0.2">
      <c r="A2" s="982" t="s">
        <v>31</v>
      </c>
      <c r="B2" s="983"/>
      <c r="C2" s="1"/>
      <c r="D2" s="150"/>
      <c r="E2" s="269"/>
      <c r="F2" s="150"/>
      <c r="G2" s="150"/>
      <c r="H2" s="61"/>
      <c r="I2" s="61"/>
      <c r="J2" s="66"/>
    </row>
    <row r="3" spans="1:11" ht="27" customHeight="1" x14ac:dyDescent="0.2">
      <c r="A3" s="987" t="s">
        <v>30</v>
      </c>
      <c r="B3" s="988"/>
      <c r="C3" s="988"/>
      <c r="D3" s="988"/>
      <c r="E3" s="988"/>
      <c r="F3" s="988"/>
      <c r="G3" s="988"/>
      <c r="H3" s="988"/>
      <c r="I3" s="988"/>
      <c r="J3" s="989"/>
    </row>
    <row r="4" spans="1:11" ht="18" customHeight="1" x14ac:dyDescent="0.2">
      <c r="A4" s="987" t="s">
        <v>1292</v>
      </c>
      <c r="B4" s="988"/>
      <c r="C4" s="988"/>
      <c r="D4" s="988"/>
      <c r="E4" s="988"/>
      <c r="F4" s="988"/>
      <c r="G4" s="988"/>
      <c r="H4" s="988"/>
      <c r="I4" s="988"/>
      <c r="J4" s="989"/>
    </row>
    <row r="5" spans="1:11" ht="18" customHeight="1" x14ac:dyDescent="0.2">
      <c r="A5" s="984" t="s">
        <v>0</v>
      </c>
      <c r="B5" s="984" t="s">
        <v>1</v>
      </c>
      <c r="C5" s="984" t="s">
        <v>2</v>
      </c>
      <c r="D5" s="990" t="s">
        <v>1440</v>
      </c>
      <c r="E5" s="990"/>
      <c r="F5" s="990"/>
      <c r="G5" s="990"/>
      <c r="H5" s="990" t="s">
        <v>1441</v>
      </c>
      <c r="I5" s="990"/>
      <c r="J5" s="990"/>
    </row>
    <row r="6" spans="1:11" ht="24" customHeight="1" x14ac:dyDescent="0.2">
      <c r="A6" s="984"/>
      <c r="B6" s="984"/>
      <c r="C6" s="984"/>
      <c r="D6" s="362" t="s">
        <v>3</v>
      </c>
      <c r="E6" s="362" t="s">
        <v>4</v>
      </c>
      <c r="F6" s="362" t="s">
        <v>1298</v>
      </c>
      <c r="G6" s="362" t="s">
        <v>1439</v>
      </c>
      <c r="H6" s="362" t="s">
        <v>1297</v>
      </c>
      <c r="I6" s="362" t="s">
        <v>1298</v>
      </c>
      <c r="J6" s="362" t="s">
        <v>1439</v>
      </c>
    </row>
    <row r="7" spans="1:11" customFormat="1" ht="25.5" customHeight="1" x14ac:dyDescent="0.25">
      <c r="A7" s="1111" t="s">
        <v>998</v>
      </c>
      <c r="B7" s="1111"/>
      <c r="C7" s="163"/>
      <c r="D7" s="163"/>
      <c r="E7" s="25"/>
      <c r="F7" s="25"/>
      <c r="G7" s="25"/>
      <c r="H7" s="67">
        <f>+H8+H24</f>
        <v>829935</v>
      </c>
      <c r="I7" s="81">
        <f>+I8+I24</f>
        <v>829926</v>
      </c>
      <c r="J7" s="81">
        <v>100</v>
      </c>
    </row>
    <row r="8" spans="1:11" customFormat="1" ht="18.75" customHeight="1" x14ac:dyDescent="0.25">
      <c r="A8" s="756"/>
      <c r="B8" s="35" t="s">
        <v>999</v>
      </c>
      <c r="C8" s="372"/>
      <c r="D8" s="372"/>
      <c r="E8" s="874"/>
      <c r="F8" s="874"/>
      <c r="G8" s="874"/>
      <c r="H8" s="41">
        <f>H9+H14+H18</f>
        <v>402130</v>
      </c>
      <c r="I8" s="306">
        <f>I9+I14+I18</f>
        <v>402128</v>
      </c>
      <c r="J8" s="306">
        <v>100</v>
      </c>
    </row>
    <row r="9" spans="1:11" customFormat="1" ht="18.75" customHeight="1" x14ac:dyDescent="0.25">
      <c r="A9" s="12">
        <v>1</v>
      </c>
      <c r="B9" s="371" t="s">
        <v>1000</v>
      </c>
      <c r="C9" s="372"/>
      <c r="D9" s="372"/>
      <c r="E9" s="636"/>
      <c r="F9" s="874"/>
      <c r="G9" s="874"/>
      <c r="H9" s="45">
        <f>SUM(H10:H13)</f>
        <v>144339</v>
      </c>
      <c r="I9" s="278">
        <f>SUM(I10:I13)</f>
        <v>144339</v>
      </c>
      <c r="J9" s="278">
        <v>100</v>
      </c>
    </row>
    <row r="10" spans="1:11" customFormat="1" ht="18.75" customHeight="1" x14ac:dyDescent="0.25">
      <c r="A10" s="605">
        <v>1.1000000000000001</v>
      </c>
      <c r="B10" s="604" t="s">
        <v>1001</v>
      </c>
      <c r="C10" s="980" t="s">
        <v>40</v>
      </c>
      <c r="D10" s="292" t="s">
        <v>1002</v>
      </c>
      <c r="E10" s="390">
        <v>2</v>
      </c>
      <c r="F10" s="783">
        <v>2</v>
      </c>
      <c r="G10" s="757">
        <v>100</v>
      </c>
      <c r="H10" s="845">
        <v>40339</v>
      </c>
      <c r="I10" s="847">
        <v>40339</v>
      </c>
      <c r="J10" s="847">
        <v>100</v>
      </c>
      <c r="K10" s="85"/>
    </row>
    <row r="11" spans="1:11" customFormat="1" ht="18.75" customHeight="1" x14ac:dyDescent="0.25">
      <c r="A11" s="605">
        <v>1.2</v>
      </c>
      <c r="B11" s="604" t="s">
        <v>1003</v>
      </c>
      <c r="C11" s="980"/>
      <c r="D11" s="607" t="s">
        <v>599</v>
      </c>
      <c r="E11" s="390">
        <v>1</v>
      </c>
      <c r="F11" s="390">
        <v>0.5</v>
      </c>
      <c r="G11" s="349">
        <v>50</v>
      </c>
      <c r="H11" s="845">
        <v>20000</v>
      </c>
      <c r="I11" s="847">
        <v>20000</v>
      </c>
      <c r="J11" s="847">
        <v>100</v>
      </c>
    </row>
    <row r="12" spans="1:11" customFormat="1" ht="18.75" customHeight="1" x14ac:dyDescent="0.25">
      <c r="A12" s="605">
        <v>1.3</v>
      </c>
      <c r="B12" s="485" t="s">
        <v>1004</v>
      </c>
      <c r="C12" s="980"/>
      <c r="D12" s="607" t="s">
        <v>1005</v>
      </c>
      <c r="E12" s="390">
        <v>1</v>
      </c>
      <c r="F12" s="390">
        <v>1</v>
      </c>
      <c r="G12" s="349">
        <v>100</v>
      </c>
      <c r="H12" s="845">
        <v>22000</v>
      </c>
      <c r="I12" s="847">
        <v>22000</v>
      </c>
      <c r="J12" s="847">
        <v>100</v>
      </c>
    </row>
    <row r="13" spans="1:11" customFormat="1" ht="18.75" customHeight="1" x14ac:dyDescent="0.25">
      <c r="A13" s="605">
        <v>1.4</v>
      </c>
      <c r="B13" s="485" t="s">
        <v>1006</v>
      </c>
      <c r="C13" s="980"/>
      <c r="D13" s="607" t="s">
        <v>599</v>
      </c>
      <c r="E13" s="390">
        <v>50</v>
      </c>
      <c r="F13" s="390">
        <v>85</v>
      </c>
      <c r="G13" s="349">
        <v>170</v>
      </c>
      <c r="H13" s="845">
        <v>62000</v>
      </c>
      <c r="I13" s="847">
        <v>62000</v>
      </c>
      <c r="J13" s="847">
        <v>100</v>
      </c>
    </row>
    <row r="14" spans="1:11" customFormat="1" ht="40.5" customHeight="1" x14ac:dyDescent="0.25">
      <c r="A14" s="364">
        <v>2</v>
      </c>
      <c r="B14" s="371" t="s">
        <v>1007</v>
      </c>
      <c r="C14" s="372"/>
      <c r="D14" s="372"/>
      <c r="E14" s="636"/>
      <c r="F14" s="874"/>
      <c r="G14" s="758"/>
      <c r="H14" s="45">
        <f>SUM(H15:H17)</f>
        <v>40000</v>
      </c>
      <c r="I14" s="278">
        <f>SUM(I15:I17)</f>
        <v>40000</v>
      </c>
      <c r="J14" s="278">
        <v>100</v>
      </c>
    </row>
    <row r="15" spans="1:11" customFormat="1" ht="40.5" customHeight="1" x14ac:dyDescent="0.25">
      <c r="A15" s="639">
        <v>2.1</v>
      </c>
      <c r="B15" s="19" t="s">
        <v>1008</v>
      </c>
      <c r="C15" s="980" t="s">
        <v>40</v>
      </c>
      <c r="D15" s="292" t="s">
        <v>599</v>
      </c>
      <c r="E15" s="390">
        <v>12</v>
      </c>
      <c r="F15" s="783">
        <v>12</v>
      </c>
      <c r="G15" s="757">
        <v>100</v>
      </c>
      <c r="H15" s="845">
        <v>40000</v>
      </c>
      <c r="I15" s="847">
        <v>40000</v>
      </c>
      <c r="J15" s="847">
        <v>100</v>
      </c>
    </row>
    <row r="16" spans="1:11" customFormat="1" ht="65.25" customHeight="1" x14ac:dyDescent="0.25">
      <c r="A16" s="639">
        <v>2.2000000000000002</v>
      </c>
      <c r="B16" s="19" t="s">
        <v>1009</v>
      </c>
      <c r="C16" s="980"/>
      <c r="D16" s="292" t="s">
        <v>599</v>
      </c>
      <c r="E16" s="390">
        <v>1</v>
      </c>
      <c r="F16" s="783">
        <v>1</v>
      </c>
      <c r="G16" s="757">
        <v>100</v>
      </c>
      <c r="H16" s="845">
        <v>0</v>
      </c>
      <c r="I16" s="847">
        <v>0</v>
      </c>
      <c r="J16" s="847">
        <v>0</v>
      </c>
    </row>
    <row r="17" spans="1:10" customFormat="1" ht="27.75" customHeight="1" x14ac:dyDescent="0.25">
      <c r="A17" s="639">
        <v>2.2999999999999998</v>
      </c>
      <c r="B17" s="19" t="s">
        <v>1010</v>
      </c>
      <c r="C17" s="980"/>
      <c r="D17" s="292" t="s">
        <v>588</v>
      </c>
      <c r="E17" s="390">
        <v>1</v>
      </c>
      <c r="F17" s="783">
        <v>1</v>
      </c>
      <c r="G17" s="757">
        <v>100</v>
      </c>
      <c r="H17" s="845">
        <v>0</v>
      </c>
      <c r="I17" s="847">
        <v>0</v>
      </c>
      <c r="J17" s="847">
        <v>0</v>
      </c>
    </row>
    <row r="18" spans="1:10" customFormat="1" ht="18.75" customHeight="1" x14ac:dyDescent="0.25">
      <c r="A18" s="364">
        <v>3</v>
      </c>
      <c r="B18" s="371" t="s">
        <v>1011</v>
      </c>
      <c r="C18" s="372"/>
      <c r="D18" s="372"/>
      <c r="E18" s="636"/>
      <c r="F18" s="874"/>
      <c r="G18" s="758"/>
      <c r="H18" s="45">
        <f>SUM(H19:H23)</f>
        <v>217791</v>
      </c>
      <c r="I18" s="278">
        <f>SUM(I19:I23)</f>
        <v>217789</v>
      </c>
      <c r="J18" s="278">
        <v>99.99</v>
      </c>
    </row>
    <row r="19" spans="1:10" customFormat="1" ht="18.75" customHeight="1" x14ac:dyDescent="0.25">
      <c r="A19" s="639">
        <v>3.1</v>
      </c>
      <c r="B19" s="19" t="s">
        <v>1012</v>
      </c>
      <c r="C19" s="980" t="s">
        <v>40</v>
      </c>
      <c r="D19" s="292" t="s">
        <v>1013</v>
      </c>
      <c r="E19" s="390">
        <v>8</v>
      </c>
      <c r="F19" s="783">
        <v>7</v>
      </c>
      <c r="G19" s="757">
        <v>87.5</v>
      </c>
      <c r="H19" s="845">
        <v>32370</v>
      </c>
      <c r="I19" s="847">
        <v>32368</v>
      </c>
      <c r="J19" s="847">
        <v>99.99</v>
      </c>
    </row>
    <row r="20" spans="1:10" customFormat="1" ht="18.75" customHeight="1" x14ac:dyDescent="0.25">
      <c r="A20" s="542">
        <v>3.2</v>
      </c>
      <c r="B20" s="19" t="s">
        <v>1014</v>
      </c>
      <c r="C20" s="980"/>
      <c r="D20" s="607" t="s">
        <v>1015</v>
      </c>
      <c r="E20" s="38">
        <v>0</v>
      </c>
      <c r="F20" s="390">
        <v>0</v>
      </c>
      <c r="G20" s="349">
        <v>0</v>
      </c>
      <c r="H20" s="845">
        <v>0</v>
      </c>
      <c r="I20" s="847">
        <v>0</v>
      </c>
      <c r="J20" s="847">
        <v>0</v>
      </c>
    </row>
    <row r="21" spans="1:10" customFormat="1" ht="18.75" customHeight="1" x14ac:dyDescent="0.25">
      <c r="A21" s="639">
        <v>3.3</v>
      </c>
      <c r="B21" s="19" t="s">
        <v>1044</v>
      </c>
      <c r="C21" s="980"/>
      <c r="D21" s="607" t="s">
        <v>1016</v>
      </c>
      <c r="E21" s="38">
        <v>1</v>
      </c>
      <c r="F21" s="390">
        <v>1</v>
      </c>
      <c r="G21" s="349">
        <v>100</v>
      </c>
      <c r="H21" s="845">
        <v>185421</v>
      </c>
      <c r="I21" s="847">
        <v>185421</v>
      </c>
      <c r="J21" s="847">
        <v>100</v>
      </c>
    </row>
    <row r="22" spans="1:10" customFormat="1" ht="18.75" customHeight="1" x14ac:dyDescent="0.25">
      <c r="A22" s="542">
        <v>3.4</v>
      </c>
      <c r="B22" s="19" t="s">
        <v>1017</v>
      </c>
      <c r="C22" s="980"/>
      <c r="D22" s="607" t="s">
        <v>1017</v>
      </c>
      <c r="E22" s="38">
        <v>2</v>
      </c>
      <c r="F22" s="390">
        <v>1</v>
      </c>
      <c r="G22" s="349">
        <v>50</v>
      </c>
      <c r="H22" s="845">
        <v>0</v>
      </c>
      <c r="I22" s="847">
        <v>0</v>
      </c>
      <c r="J22" s="847">
        <v>0</v>
      </c>
    </row>
    <row r="23" spans="1:10" customFormat="1" ht="18.75" customHeight="1" x14ac:dyDescent="0.25">
      <c r="A23" s="639">
        <v>3.5</v>
      </c>
      <c r="B23" s="19" t="s">
        <v>1018</v>
      </c>
      <c r="C23" s="980"/>
      <c r="D23" s="607" t="s">
        <v>1018</v>
      </c>
      <c r="E23" s="38">
        <v>0</v>
      </c>
      <c r="F23" s="390">
        <v>0</v>
      </c>
      <c r="G23" s="349">
        <v>0</v>
      </c>
      <c r="H23" s="845">
        <v>0</v>
      </c>
      <c r="I23" s="847">
        <v>0</v>
      </c>
      <c r="J23" s="847">
        <v>0</v>
      </c>
    </row>
    <row r="24" spans="1:10" customFormat="1" ht="18.75" customHeight="1" x14ac:dyDescent="0.25">
      <c r="A24" s="18"/>
      <c r="B24" s="53" t="s">
        <v>1019</v>
      </c>
      <c r="C24" s="183"/>
      <c r="D24" s="607"/>
      <c r="E24" s="38"/>
      <c r="F24" s="390"/>
      <c r="G24" s="349"/>
      <c r="H24" s="41">
        <f>+H25</f>
        <v>427805</v>
      </c>
      <c r="I24" s="306">
        <v>427798</v>
      </c>
      <c r="J24" s="306">
        <v>99.998000000000005</v>
      </c>
    </row>
    <row r="25" spans="1:10" customFormat="1" ht="18.75" customHeight="1" x14ac:dyDescent="0.25">
      <c r="A25" s="364">
        <v>1</v>
      </c>
      <c r="B25" s="19" t="s">
        <v>1020</v>
      </c>
      <c r="C25" s="183" t="s">
        <v>40</v>
      </c>
      <c r="D25" s="183" t="s">
        <v>248</v>
      </c>
      <c r="E25" s="875">
        <v>0.4</v>
      </c>
      <c r="F25" s="63">
        <v>0.3</v>
      </c>
      <c r="G25" s="527">
        <v>75</v>
      </c>
      <c r="H25" s="24">
        <v>427805</v>
      </c>
      <c r="I25" s="318">
        <v>427798</v>
      </c>
      <c r="J25" s="759">
        <v>99.998000000000005</v>
      </c>
    </row>
    <row r="26" spans="1:10" x14ac:dyDescent="0.2">
      <c r="A26" s="465"/>
      <c r="B26" s="465"/>
      <c r="C26" s="465"/>
      <c r="D26" s="451"/>
      <c r="E26" s="866"/>
      <c r="F26" s="866"/>
      <c r="G26" s="866"/>
      <c r="H26" s="866"/>
      <c r="I26" s="866"/>
      <c r="J26" s="866"/>
    </row>
    <row r="27" spans="1:10" x14ac:dyDescent="0.2">
      <c r="A27" s="465"/>
      <c r="B27" s="465"/>
      <c r="C27" s="465"/>
      <c r="D27" s="451"/>
      <c r="E27" s="866"/>
      <c r="F27" s="866"/>
      <c r="G27" s="866"/>
      <c r="H27" s="866"/>
      <c r="I27" s="866"/>
      <c r="J27" s="866"/>
    </row>
    <row r="28" spans="1:10" x14ac:dyDescent="0.2">
      <c r="A28" s="465"/>
      <c r="B28" s="465"/>
      <c r="C28" s="465"/>
      <c r="D28" s="451"/>
      <c r="E28" s="866"/>
      <c r="F28" s="866"/>
      <c r="G28" s="866"/>
      <c r="H28" s="866"/>
      <c r="I28" s="866"/>
      <c r="J28" s="866"/>
    </row>
    <row r="29" spans="1:10" x14ac:dyDescent="0.2">
      <c r="A29" s="465"/>
      <c r="B29" s="465"/>
      <c r="C29" s="465"/>
      <c r="D29" s="451"/>
      <c r="E29" s="866"/>
      <c r="F29" s="866"/>
      <c r="G29" s="866"/>
      <c r="H29" s="866"/>
      <c r="I29" s="866"/>
      <c r="J29" s="866"/>
    </row>
    <row r="30" spans="1:10" x14ac:dyDescent="0.2">
      <c r="A30" s="465"/>
      <c r="B30" s="465"/>
      <c r="C30" s="465"/>
      <c r="D30" s="451"/>
      <c r="E30" s="866"/>
      <c r="F30" s="866"/>
      <c r="G30" s="866"/>
      <c r="H30" s="866"/>
      <c r="I30" s="866"/>
      <c r="J30" s="866"/>
    </row>
    <row r="31" spans="1:10" x14ac:dyDescent="0.2">
      <c r="A31" s="465"/>
      <c r="B31" s="465"/>
      <c r="C31" s="465"/>
      <c r="D31" s="451"/>
      <c r="E31" s="866"/>
      <c r="F31" s="866"/>
      <c r="G31" s="866"/>
      <c r="H31" s="866"/>
      <c r="I31" s="866"/>
      <c r="J31" s="866"/>
    </row>
    <row r="32" spans="1:10" x14ac:dyDescent="0.2">
      <c r="A32" s="465"/>
      <c r="B32" s="465"/>
      <c r="C32" s="465"/>
      <c r="D32" s="451"/>
      <c r="E32" s="866"/>
      <c r="F32" s="866"/>
      <c r="G32" s="866"/>
      <c r="H32" s="866"/>
      <c r="I32" s="866"/>
      <c r="J32" s="866"/>
    </row>
    <row r="33" spans="1:10" x14ac:dyDescent="0.2">
      <c r="A33" s="465"/>
      <c r="B33" s="465"/>
      <c r="C33" s="465"/>
      <c r="D33" s="451"/>
      <c r="E33" s="866"/>
      <c r="F33" s="866"/>
      <c r="G33" s="866"/>
      <c r="H33" s="866"/>
      <c r="I33" s="866"/>
      <c r="J33" s="866"/>
    </row>
    <row r="34" spans="1:10" x14ac:dyDescent="0.2">
      <c r="A34" s="465"/>
      <c r="B34" s="465"/>
      <c r="C34" s="465"/>
      <c r="D34" s="451"/>
      <c r="E34" s="866"/>
      <c r="F34" s="866"/>
      <c r="G34" s="866"/>
      <c r="H34" s="866"/>
      <c r="I34" s="866"/>
      <c r="J34" s="866"/>
    </row>
    <row r="35" spans="1:10" x14ac:dyDescent="0.2">
      <c r="A35" s="465"/>
      <c r="B35" s="465"/>
      <c r="C35" s="465"/>
      <c r="D35" s="451"/>
      <c r="E35" s="866"/>
      <c r="F35" s="866"/>
      <c r="G35" s="866"/>
      <c r="H35" s="866"/>
      <c r="I35" s="866"/>
      <c r="J35" s="866"/>
    </row>
    <row r="36" spans="1:10" x14ac:dyDescent="0.2">
      <c r="A36" s="465"/>
      <c r="B36" s="465"/>
      <c r="C36" s="465"/>
      <c r="D36" s="451"/>
      <c r="E36" s="866"/>
      <c r="F36" s="866"/>
      <c r="G36" s="866"/>
      <c r="H36" s="866"/>
      <c r="I36" s="866"/>
      <c r="J36" s="866"/>
    </row>
    <row r="37" spans="1:10" x14ac:dyDescent="0.2">
      <c r="A37" s="465"/>
      <c r="B37" s="465"/>
      <c r="C37" s="465"/>
      <c r="D37" s="451"/>
      <c r="E37" s="866"/>
      <c r="F37" s="866"/>
      <c r="G37" s="866"/>
      <c r="H37" s="866"/>
      <c r="I37" s="866"/>
      <c r="J37" s="866"/>
    </row>
    <row r="38" spans="1:10" x14ac:dyDescent="0.2">
      <c r="A38" s="465"/>
      <c r="B38" s="465"/>
      <c r="C38" s="465"/>
      <c r="D38" s="451"/>
      <c r="E38" s="866"/>
      <c r="F38" s="866"/>
      <c r="G38" s="866"/>
      <c r="H38" s="866"/>
      <c r="I38" s="866"/>
      <c r="J38" s="866"/>
    </row>
    <row r="39" spans="1:10" x14ac:dyDescent="0.2">
      <c r="A39" s="465"/>
      <c r="B39" s="465"/>
      <c r="C39" s="465"/>
      <c r="D39" s="451"/>
      <c r="E39" s="866"/>
      <c r="F39" s="866"/>
      <c r="G39" s="866"/>
      <c r="H39" s="866"/>
      <c r="I39" s="866"/>
      <c r="J39" s="866"/>
    </row>
    <row r="40" spans="1:10" x14ac:dyDescent="0.2">
      <c r="A40" s="465"/>
      <c r="B40" s="465"/>
      <c r="C40" s="465"/>
      <c r="D40" s="451"/>
      <c r="E40" s="866"/>
      <c r="F40" s="866"/>
      <c r="G40" s="866"/>
      <c r="H40" s="866"/>
      <c r="I40" s="866"/>
      <c r="J40" s="866"/>
    </row>
    <row r="41" spans="1:10" x14ac:dyDescent="0.2">
      <c r="A41" s="465"/>
      <c r="B41" s="465"/>
      <c r="C41" s="465"/>
      <c r="D41" s="451"/>
      <c r="E41" s="465"/>
      <c r="F41" s="451"/>
      <c r="G41" s="451"/>
      <c r="H41" s="760"/>
      <c r="I41" s="760"/>
      <c r="J41" s="760"/>
    </row>
    <row r="42" spans="1:10" x14ac:dyDescent="0.2">
      <c r="A42" s="465"/>
      <c r="B42" s="465"/>
      <c r="C42" s="465"/>
      <c r="D42" s="451"/>
      <c r="E42" s="465"/>
      <c r="F42" s="451"/>
      <c r="G42" s="451"/>
      <c r="H42" s="760"/>
      <c r="I42" s="760"/>
      <c r="J42" s="760"/>
    </row>
    <row r="43" spans="1:10" x14ac:dyDescent="0.2">
      <c r="A43" s="465"/>
      <c r="B43" s="465"/>
      <c r="C43" s="465"/>
      <c r="D43" s="451"/>
      <c r="E43" s="465"/>
      <c r="F43" s="451"/>
      <c r="G43" s="451"/>
      <c r="H43" s="760"/>
      <c r="I43" s="760"/>
      <c r="J43" s="760"/>
    </row>
    <row r="44" spans="1:10" x14ac:dyDescent="0.2">
      <c r="A44" s="465"/>
      <c r="B44" s="465"/>
      <c r="C44" s="465"/>
      <c r="D44" s="451"/>
      <c r="E44" s="465"/>
      <c r="F44" s="451"/>
      <c r="G44" s="451"/>
      <c r="H44" s="760"/>
      <c r="I44" s="760"/>
      <c r="J44" s="760"/>
    </row>
    <row r="45" spans="1:10" x14ac:dyDescent="0.2">
      <c r="A45" s="465"/>
      <c r="B45" s="465"/>
      <c r="C45" s="465"/>
      <c r="D45" s="451"/>
      <c r="E45" s="465"/>
      <c r="F45" s="451"/>
      <c r="G45" s="451"/>
      <c r="H45" s="760"/>
      <c r="I45" s="760"/>
      <c r="J45" s="760"/>
    </row>
    <row r="46" spans="1:10" x14ac:dyDescent="0.2">
      <c r="A46" s="465"/>
      <c r="B46" s="465"/>
      <c r="C46" s="465"/>
      <c r="D46" s="451"/>
      <c r="E46" s="465"/>
      <c r="F46" s="451"/>
      <c r="G46" s="451"/>
      <c r="H46" s="760"/>
      <c r="I46" s="760"/>
      <c r="J46" s="760"/>
    </row>
    <row r="47" spans="1:10" x14ac:dyDescent="0.2">
      <c r="A47" s="465"/>
      <c r="B47" s="465"/>
      <c r="C47" s="465"/>
      <c r="D47" s="451"/>
      <c r="E47" s="465"/>
      <c r="F47" s="451"/>
      <c r="G47" s="451"/>
      <c r="H47" s="760"/>
      <c r="I47" s="760"/>
      <c r="J47" s="760"/>
    </row>
    <row r="48" spans="1:10" x14ac:dyDescent="0.2">
      <c r="A48" s="465"/>
      <c r="B48" s="465"/>
      <c r="C48" s="465"/>
      <c r="D48" s="451"/>
      <c r="E48" s="465"/>
      <c r="F48" s="451"/>
      <c r="G48" s="451"/>
      <c r="H48" s="760"/>
      <c r="I48" s="760"/>
      <c r="J48" s="760"/>
    </row>
    <row r="49" spans="1:10" x14ac:dyDescent="0.2">
      <c r="A49" s="465"/>
      <c r="B49" s="465"/>
      <c r="C49" s="465"/>
      <c r="D49" s="451"/>
      <c r="E49" s="465"/>
      <c r="F49" s="451"/>
      <c r="G49" s="451"/>
      <c r="H49" s="760"/>
      <c r="I49" s="760"/>
      <c r="J49" s="760"/>
    </row>
    <row r="50" spans="1:10" x14ac:dyDescent="0.2">
      <c r="A50" s="465"/>
      <c r="B50" s="465"/>
      <c r="C50" s="465"/>
      <c r="D50" s="451"/>
      <c r="E50" s="465"/>
      <c r="F50" s="451"/>
      <c r="G50" s="451"/>
      <c r="H50" s="760"/>
      <c r="I50" s="760"/>
      <c r="J50" s="760"/>
    </row>
    <row r="51" spans="1:10" x14ac:dyDescent="0.2">
      <c r="A51" s="465"/>
      <c r="B51" s="465"/>
      <c r="C51" s="465"/>
      <c r="D51" s="451"/>
      <c r="E51" s="465"/>
      <c r="F51" s="451"/>
      <c r="G51" s="451"/>
      <c r="H51" s="760"/>
      <c r="I51" s="760"/>
      <c r="J51" s="760"/>
    </row>
    <row r="52" spans="1:10" x14ac:dyDescent="0.2">
      <c r="A52" s="465"/>
      <c r="B52" s="465"/>
      <c r="C52" s="465"/>
      <c r="D52" s="451"/>
      <c r="E52" s="465"/>
      <c r="F52" s="451"/>
      <c r="G52" s="451"/>
      <c r="H52" s="760"/>
      <c r="I52" s="760"/>
      <c r="J52" s="760"/>
    </row>
    <row r="53" spans="1:10" x14ac:dyDescent="0.2">
      <c r="A53" s="465"/>
      <c r="B53" s="465"/>
      <c r="C53" s="465"/>
      <c r="D53" s="451"/>
      <c r="E53" s="465"/>
      <c r="F53" s="451"/>
      <c r="G53" s="451"/>
      <c r="H53" s="760"/>
      <c r="I53" s="760"/>
      <c r="J53" s="760"/>
    </row>
    <row r="54" spans="1:10" x14ac:dyDescent="0.2">
      <c r="A54" s="465"/>
      <c r="B54" s="465"/>
      <c r="C54" s="465"/>
      <c r="D54" s="451"/>
      <c r="E54" s="465"/>
      <c r="F54" s="451"/>
      <c r="G54" s="451"/>
      <c r="H54" s="760"/>
      <c r="I54" s="760"/>
      <c r="J54" s="760"/>
    </row>
    <row r="55" spans="1:10" x14ac:dyDescent="0.2">
      <c r="A55" s="465"/>
      <c r="B55" s="465"/>
      <c r="C55" s="465"/>
      <c r="D55" s="451"/>
      <c r="E55" s="465"/>
      <c r="F55" s="451"/>
      <c r="G55" s="451"/>
      <c r="H55" s="760"/>
      <c r="I55" s="760"/>
      <c r="J55" s="760"/>
    </row>
    <row r="56" spans="1:10" x14ac:dyDescent="0.2">
      <c r="A56" s="465"/>
      <c r="B56" s="465"/>
      <c r="C56" s="465"/>
      <c r="D56" s="451"/>
      <c r="E56" s="465"/>
      <c r="F56" s="451"/>
      <c r="G56" s="451"/>
      <c r="H56" s="760"/>
      <c r="I56" s="760"/>
      <c r="J56" s="760"/>
    </row>
    <row r="57" spans="1:10" x14ac:dyDescent="0.2">
      <c r="A57" s="465"/>
      <c r="B57" s="465"/>
      <c r="C57" s="465"/>
      <c r="D57" s="451"/>
      <c r="E57" s="465"/>
      <c r="F57" s="451"/>
      <c r="G57" s="451"/>
      <c r="H57" s="760"/>
      <c r="I57" s="760"/>
      <c r="J57" s="760"/>
    </row>
    <row r="58" spans="1:10" x14ac:dyDescent="0.2">
      <c r="A58" s="465"/>
      <c r="B58" s="465"/>
      <c r="C58" s="465"/>
      <c r="D58" s="451"/>
      <c r="E58" s="465"/>
      <c r="F58" s="451"/>
      <c r="G58" s="451"/>
      <c r="H58" s="760"/>
      <c r="I58" s="760"/>
      <c r="J58" s="760"/>
    </row>
    <row r="59" spans="1:10" x14ac:dyDescent="0.2">
      <c r="A59" s="465"/>
      <c r="B59" s="465"/>
      <c r="C59" s="465"/>
      <c r="D59" s="451"/>
      <c r="E59" s="465"/>
      <c r="F59" s="451"/>
      <c r="G59" s="451"/>
      <c r="H59" s="760"/>
      <c r="I59" s="760"/>
      <c r="J59" s="760"/>
    </row>
    <row r="60" spans="1:10" x14ac:dyDescent="0.2">
      <c r="A60" s="465"/>
      <c r="B60" s="465"/>
      <c r="C60" s="465"/>
      <c r="D60" s="451"/>
      <c r="E60" s="465"/>
      <c r="F60" s="451"/>
      <c r="G60" s="451"/>
      <c r="H60" s="760"/>
      <c r="I60" s="760"/>
      <c r="J60" s="760"/>
    </row>
    <row r="61" spans="1:10" x14ac:dyDescent="0.2">
      <c r="A61" s="465"/>
      <c r="B61" s="465"/>
      <c r="C61" s="465"/>
      <c r="D61" s="451"/>
      <c r="E61" s="465"/>
      <c r="F61" s="451"/>
      <c r="G61" s="451"/>
      <c r="H61" s="760"/>
      <c r="I61" s="760"/>
      <c r="J61" s="760"/>
    </row>
    <row r="62" spans="1:10" x14ac:dyDescent="0.2">
      <c r="A62" s="465"/>
      <c r="B62" s="465"/>
      <c r="C62" s="465"/>
      <c r="D62" s="451"/>
      <c r="E62" s="465"/>
      <c r="F62" s="451"/>
      <c r="G62" s="451"/>
      <c r="H62" s="760"/>
      <c r="I62" s="760"/>
      <c r="J62" s="760"/>
    </row>
    <row r="63" spans="1:10" x14ac:dyDescent="0.2">
      <c r="A63" s="465"/>
      <c r="B63" s="465"/>
      <c r="C63" s="465"/>
      <c r="D63" s="451"/>
      <c r="E63" s="465"/>
      <c r="F63" s="451"/>
      <c r="G63" s="451"/>
      <c r="H63" s="760"/>
      <c r="I63" s="760"/>
      <c r="J63" s="760"/>
    </row>
    <row r="64" spans="1:10" x14ac:dyDescent="0.2">
      <c r="A64" s="465"/>
      <c r="B64" s="465"/>
      <c r="C64" s="465"/>
      <c r="D64" s="451"/>
      <c r="E64" s="465"/>
      <c r="F64" s="451"/>
      <c r="G64" s="451"/>
      <c r="H64" s="760"/>
      <c r="I64" s="760"/>
      <c r="J64" s="760"/>
    </row>
    <row r="65" spans="4:10" s="3" customFormat="1" x14ac:dyDescent="0.2">
      <c r="D65" s="159"/>
      <c r="F65" s="159"/>
      <c r="G65" s="159"/>
      <c r="H65" s="65"/>
      <c r="I65" s="65"/>
      <c r="J65" s="65"/>
    </row>
    <row r="66" spans="4:10" s="3" customFormat="1" x14ac:dyDescent="0.2">
      <c r="D66" s="159"/>
      <c r="F66" s="159"/>
      <c r="G66" s="159"/>
      <c r="H66" s="65"/>
      <c r="I66" s="65"/>
      <c r="J66" s="65"/>
    </row>
    <row r="67" spans="4:10" s="3" customFormat="1" x14ac:dyDescent="0.2">
      <c r="D67" s="159"/>
      <c r="F67" s="159"/>
      <c r="G67" s="159"/>
      <c r="H67" s="65"/>
      <c r="I67" s="65"/>
      <c r="J67" s="65"/>
    </row>
    <row r="68" spans="4:10" s="3" customFormat="1" x14ac:dyDescent="0.2">
      <c r="D68" s="159"/>
      <c r="F68" s="159"/>
      <c r="G68" s="159"/>
      <c r="H68" s="65"/>
      <c r="I68" s="65"/>
      <c r="J68" s="65"/>
    </row>
    <row r="69" spans="4:10" s="3" customFormat="1" x14ac:dyDescent="0.2">
      <c r="D69" s="159"/>
      <c r="F69" s="159"/>
      <c r="G69" s="159"/>
      <c r="H69" s="65"/>
      <c r="I69" s="65"/>
      <c r="J69" s="65"/>
    </row>
    <row r="70" spans="4:10" s="3" customFormat="1" x14ac:dyDescent="0.2">
      <c r="D70" s="159"/>
      <c r="F70" s="159"/>
      <c r="G70" s="159"/>
      <c r="H70" s="65"/>
      <c r="I70" s="65"/>
      <c r="J70" s="65"/>
    </row>
    <row r="71" spans="4:10" s="3" customFormat="1" x14ac:dyDescent="0.2">
      <c r="D71" s="159"/>
      <c r="F71" s="159"/>
      <c r="G71" s="159"/>
      <c r="H71" s="65"/>
      <c r="I71" s="65"/>
      <c r="J71" s="65"/>
    </row>
    <row r="72" spans="4:10" s="3" customFormat="1" x14ac:dyDescent="0.2">
      <c r="D72" s="159"/>
      <c r="F72" s="159"/>
      <c r="G72" s="159"/>
      <c r="H72" s="65"/>
      <c r="I72" s="65"/>
      <c r="J72" s="65"/>
    </row>
    <row r="73" spans="4:10" s="3" customFormat="1" x14ac:dyDescent="0.2">
      <c r="D73" s="159"/>
      <c r="F73" s="159"/>
      <c r="G73" s="159"/>
      <c r="H73" s="65"/>
      <c r="I73" s="65"/>
      <c r="J73" s="65"/>
    </row>
    <row r="74" spans="4:10" s="3" customFormat="1" x14ac:dyDescent="0.2">
      <c r="D74" s="159"/>
      <c r="F74" s="159"/>
      <c r="G74" s="159"/>
      <c r="H74" s="65"/>
      <c r="I74" s="65"/>
      <c r="J74" s="65"/>
    </row>
    <row r="75" spans="4:10" s="3" customFormat="1" x14ac:dyDescent="0.2">
      <c r="D75" s="159"/>
      <c r="F75" s="159"/>
      <c r="G75" s="159"/>
      <c r="H75" s="65"/>
      <c r="I75" s="65"/>
      <c r="J75" s="65"/>
    </row>
    <row r="76" spans="4:10" s="3" customFormat="1" x14ac:dyDescent="0.2">
      <c r="D76" s="159"/>
      <c r="F76" s="159"/>
      <c r="G76" s="159"/>
      <c r="H76" s="65"/>
      <c r="I76" s="65"/>
      <c r="J76" s="65"/>
    </row>
    <row r="77" spans="4:10" s="3" customFormat="1" x14ac:dyDescent="0.2">
      <c r="D77" s="159"/>
      <c r="F77" s="159"/>
      <c r="G77" s="159"/>
      <c r="H77" s="65"/>
      <c r="I77" s="65"/>
      <c r="J77" s="65"/>
    </row>
    <row r="78" spans="4:10" s="3" customFormat="1" x14ac:dyDescent="0.2">
      <c r="D78" s="159"/>
      <c r="F78" s="159"/>
      <c r="G78" s="159"/>
      <c r="H78" s="65"/>
      <c r="I78" s="65"/>
      <c r="J78" s="65"/>
    </row>
    <row r="79" spans="4:10" s="3" customFormat="1" x14ac:dyDescent="0.2">
      <c r="D79" s="159"/>
      <c r="F79" s="159"/>
      <c r="G79" s="159"/>
      <c r="H79" s="65"/>
      <c r="I79" s="65"/>
      <c r="J79" s="65"/>
    </row>
    <row r="80" spans="4:10" s="3" customFormat="1" x14ac:dyDescent="0.2">
      <c r="D80" s="159"/>
      <c r="F80" s="159"/>
      <c r="G80" s="159"/>
      <c r="H80" s="65"/>
      <c r="I80" s="65"/>
      <c r="J80" s="65"/>
    </row>
    <row r="81" spans="4:10" s="3" customFormat="1" x14ac:dyDescent="0.2">
      <c r="D81" s="159"/>
      <c r="F81" s="159"/>
      <c r="G81" s="159"/>
      <c r="H81" s="65"/>
      <c r="I81" s="65"/>
      <c r="J81" s="65"/>
    </row>
    <row r="82" spans="4:10" s="3" customFormat="1" x14ac:dyDescent="0.2">
      <c r="D82" s="159"/>
      <c r="F82" s="159"/>
      <c r="G82" s="159"/>
      <c r="H82" s="65"/>
      <c r="I82" s="65"/>
      <c r="J82" s="65"/>
    </row>
    <row r="83" spans="4:10" s="3" customFormat="1" x14ac:dyDescent="0.2">
      <c r="D83" s="159"/>
      <c r="F83" s="159"/>
      <c r="G83" s="159"/>
      <c r="H83" s="65"/>
      <c r="I83" s="65"/>
      <c r="J83" s="65"/>
    </row>
    <row r="84" spans="4:10" s="3" customFormat="1" x14ac:dyDescent="0.2">
      <c r="D84" s="159"/>
      <c r="F84" s="159"/>
      <c r="G84" s="159"/>
      <c r="H84" s="65"/>
      <c r="I84" s="65"/>
      <c r="J84" s="65"/>
    </row>
    <row r="85" spans="4:10" s="3" customFormat="1" x14ac:dyDescent="0.2">
      <c r="D85" s="159"/>
      <c r="F85" s="159"/>
      <c r="G85" s="159"/>
      <c r="H85" s="65"/>
      <c r="I85" s="65"/>
      <c r="J85" s="65"/>
    </row>
    <row r="86" spans="4:10" s="3" customFormat="1" x14ac:dyDescent="0.2">
      <c r="D86" s="159"/>
      <c r="F86" s="159"/>
      <c r="G86" s="159"/>
      <c r="H86" s="65"/>
      <c r="I86" s="65"/>
      <c r="J86" s="65"/>
    </row>
    <row r="87" spans="4:10" s="3" customFormat="1" x14ac:dyDescent="0.2">
      <c r="D87" s="159"/>
      <c r="F87" s="159"/>
      <c r="G87" s="159"/>
      <c r="H87" s="65"/>
      <c r="I87" s="65"/>
      <c r="J87" s="65"/>
    </row>
    <row r="88" spans="4:10" s="3" customFormat="1" x14ac:dyDescent="0.2">
      <c r="D88" s="159"/>
      <c r="F88" s="159"/>
      <c r="G88" s="159"/>
      <c r="H88" s="65"/>
      <c r="I88" s="65"/>
      <c r="J88" s="65"/>
    </row>
    <row r="89" spans="4:10" s="3" customFormat="1" x14ac:dyDescent="0.2">
      <c r="D89" s="159"/>
      <c r="F89" s="159"/>
      <c r="G89" s="159"/>
      <c r="H89" s="65"/>
      <c r="I89" s="65"/>
      <c r="J89" s="65"/>
    </row>
    <row r="90" spans="4:10" s="3" customFormat="1" x14ac:dyDescent="0.2">
      <c r="D90" s="159"/>
      <c r="F90" s="159"/>
      <c r="G90" s="159"/>
      <c r="H90" s="65"/>
      <c r="I90" s="65"/>
      <c r="J90" s="65"/>
    </row>
    <row r="91" spans="4:10" s="3" customFormat="1" x14ac:dyDescent="0.2">
      <c r="D91" s="159"/>
      <c r="F91" s="159"/>
      <c r="G91" s="159"/>
      <c r="H91" s="65"/>
      <c r="I91" s="65"/>
      <c r="J91" s="65"/>
    </row>
    <row r="92" spans="4:10" s="3" customFormat="1" x14ac:dyDescent="0.2">
      <c r="D92" s="159"/>
      <c r="F92" s="159"/>
      <c r="G92" s="159"/>
      <c r="H92" s="65"/>
      <c r="I92" s="65"/>
      <c r="J92" s="65"/>
    </row>
    <row r="93" spans="4:10" s="3" customFormat="1" x14ac:dyDescent="0.2">
      <c r="D93" s="159"/>
      <c r="F93" s="159"/>
      <c r="G93" s="159"/>
      <c r="H93" s="65"/>
      <c r="I93" s="65"/>
      <c r="J93" s="65"/>
    </row>
    <row r="94" spans="4:10" s="3" customFormat="1" x14ac:dyDescent="0.2">
      <c r="D94" s="159"/>
      <c r="F94" s="159"/>
      <c r="G94" s="159"/>
      <c r="H94" s="65"/>
      <c r="I94" s="65"/>
      <c r="J94" s="65"/>
    </row>
    <row r="95" spans="4:10" s="3" customFormat="1" x14ac:dyDescent="0.2">
      <c r="D95" s="159"/>
      <c r="F95" s="159"/>
      <c r="G95" s="159"/>
      <c r="H95" s="65"/>
      <c r="I95" s="65"/>
      <c r="J95" s="65"/>
    </row>
    <row r="96" spans="4:10" s="3" customFormat="1" x14ac:dyDescent="0.2">
      <c r="D96" s="159"/>
      <c r="F96" s="159"/>
      <c r="G96" s="159"/>
      <c r="H96" s="65"/>
      <c r="I96" s="65"/>
      <c r="J96" s="65"/>
    </row>
    <row r="97" spans="4:10" s="3" customFormat="1" x14ac:dyDescent="0.2">
      <c r="D97" s="159"/>
      <c r="F97" s="159"/>
      <c r="G97" s="159"/>
      <c r="H97" s="65"/>
      <c r="I97" s="65"/>
      <c r="J97" s="65"/>
    </row>
    <row r="98" spans="4:10" s="3" customFormat="1" x14ac:dyDescent="0.2">
      <c r="D98" s="159"/>
      <c r="F98" s="159"/>
      <c r="G98" s="159"/>
      <c r="H98" s="65"/>
      <c r="I98" s="65"/>
      <c r="J98" s="65"/>
    </row>
    <row r="99" spans="4:10" s="3" customFormat="1" x14ac:dyDescent="0.2">
      <c r="D99" s="159"/>
      <c r="F99" s="159"/>
      <c r="G99" s="159"/>
      <c r="H99" s="65"/>
      <c r="I99" s="65"/>
      <c r="J99" s="65"/>
    </row>
    <row r="100" spans="4:10" s="3" customFormat="1" x14ac:dyDescent="0.2">
      <c r="D100" s="159"/>
      <c r="F100" s="159"/>
      <c r="G100" s="159"/>
      <c r="H100" s="65"/>
      <c r="I100" s="65"/>
      <c r="J100" s="65"/>
    </row>
  </sheetData>
  <mergeCells count="12">
    <mergeCell ref="D5:G5"/>
    <mergeCell ref="H5:J5"/>
    <mergeCell ref="A3:J3"/>
    <mergeCell ref="A4:J4"/>
    <mergeCell ref="A7:B7"/>
    <mergeCell ref="C10:C13"/>
    <mergeCell ref="C15:C17"/>
    <mergeCell ref="C19:C23"/>
    <mergeCell ref="A2:B2"/>
    <mergeCell ref="A5:A6"/>
    <mergeCell ref="B5:B6"/>
    <mergeCell ref="C5:C6"/>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4" tint="0.79998168889431442"/>
  </sheetPr>
  <dimension ref="A2:Y193"/>
  <sheetViews>
    <sheetView view="pageBreakPreview" zoomScale="60" zoomScaleNormal="100" workbookViewId="0">
      <pane ySplit="6" topLeftCell="A169" activePane="bottomLeft" state="frozen"/>
      <selection activeCell="N15" sqref="N15"/>
      <selection pane="bottomLeft"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65" customWidth="1"/>
    <col min="6" max="6" width="11.7109375" style="159" customWidth="1"/>
    <col min="7" max="7" width="10.140625" style="159" customWidth="1"/>
    <col min="8" max="8" width="12.5703125" style="3" customWidth="1"/>
    <col min="9" max="9" width="13.42578125" style="3" customWidth="1"/>
    <col min="10" max="10" width="9.85546875" style="3" customWidth="1"/>
    <col min="11" max="11" width="11.42578125" style="3"/>
    <col min="12" max="12" width="12.5703125" style="3" bestFit="1" customWidth="1"/>
    <col min="13" max="16384" width="11.42578125" style="3"/>
  </cols>
  <sheetData>
    <row r="2" spans="1:13" ht="18" customHeight="1" x14ac:dyDescent="0.2">
      <c r="A2" s="982" t="s">
        <v>34</v>
      </c>
      <c r="B2" s="983"/>
      <c r="C2" s="1"/>
      <c r="D2" s="150"/>
      <c r="E2" s="61"/>
      <c r="F2" s="150"/>
      <c r="G2" s="150"/>
      <c r="H2" s="271"/>
      <c r="I2" s="271"/>
      <c r="J2" s="2"/>
    </row>
    <row r="3" spans="1:13" ht="19.5" customHeight="1" x14ac:dyDescent="0.2">
      <c r="A3" s="987" t="s">
        <v>33</v>
      </c>
      <c r="B3" s="988"/>
      <c r="C3" s="988"/>
      <c r="D3" s="988"/>
      <c r="E3" s="988"/>
      <c r="F3" s="988"/>
      <c r="G3" s="988"/>
      <c r="H3" s="988"/>
      <c r="I3" s="988"/>
      <c r="J3" s="989"/>
    </row>
    <row r="4" spans="1:13" ht="18" customHeight="1" x14ac:dyDescent="0.2">
      <c r="A4" s="987" t="s">
        <v>32</v>
      </c>
      <c r="B4" s="988"/>
      <c r="C4" s="988"/>
      <c r="D4" s="988"/>
      <c r="E4" s="988"/>
      <c r="F4" s="988"/>
      <c r="G4" s="988"/>
      <c r="H4" s="988"/>
      <c r="I4" s="988"/>
      <c r="J4" s="989"/>
    </row>
    <row r="5" spans="1:13" ht="18" customHeight="1" x14ac:dyDescent="0.2">
      <c r="A5" s="1007" t="s">
        <v>0</v>
      </c>
      <c r="B5" s="1007" t="s">
        <v>1</v>
      </c>
      <c r="C5" s="984" t="s">
        <v>2</v>
      </c>
      <c r="D5" s="990" t="s">
        <v>1440</v>
      </c>
      <c r="E5" s="990"/>
      <c r="F5" s="990"/>
      <c r="G5" s="990"/>
      <c r="H5" s="990" t="s">
        <v>1441</v>
      </c>
      <c r="I5" s="990"/>
      <c r="J5" s="990"/>
    </row>
    <row r="6" spans="1:13" ht="24" customHeight="1" x14ac:dyDescent="0.2">
      <c r="A6" s="1008"/>
      <c r="B6" s="1008"/>
      <c r="C6" s="984"/>
      <c r="D6" s="4" t="s">
        <v>3</v>
      </c>
      <c r="E6" s="4" t="s">
        <v>4</v>
      </c>
      <c r="F6" s="270" t="s">
        <v>1298</v>
      </c>
      <c r="G6" s="270" t="s">
        <v>1439</v>
      </c>
      <c r="H6" s="4" t="s">
        <v>1297</v>
      </c>
      <c r="I6" s="270" t="s">
        <v>1298</v>
      </c>
      <c r="J6" s="270" t="s">
        <v>1439</v>
      </c>
    </row>
    <row r="7" spans="1:13" customFormat="1" ht="18.75" customHeight="1" x14ac:dyDescent="0.25">
      <c r="A7" s="985" t="s">
        <v>639</v>
      </c>
      <c r="B7" s="985"/>
      <c r="C7" s="163"/>
      <c r="D7" s="163"/>
      <c r="E7" s="25"/>
      <c r="F7" s="25"/>
      <c r="G7" s="25"/>
      <c r="H7" s="25"/>
      <c r="I7" s="25"/>
      <c r="J7" s="25"/>
      <c r="L7" s="3"/>
      <c r="M7" s="3"/>
    </row>
    <row r="8" spans="1:13" customFormat="1" ht="18.75" customHeight="1" x14ac:dyDescent="0.25">
      <c r="A8" s="682"/>
      <c r="B8" s="52" t="s">
        <v>640</v>
      </c>
      <c r="C8" s="163"/>
      <c r="D8" s="163"/>
      <c r="E8" s="25"/>
      <c r="F8" s="25"/>
      <c r="G8" s="25"/>
      <c r="H8" s="67">
        <f>+H9</f>
        <v>103323</v>
      </c>
      <c r="I8" s="81">
        <f>+I9</f>
        <v>103320</v>
      </c>
      <c r="J8" s="331">
        <f>+I8/H8*100</f>
        <v>99.997096483841929</v>
      </c>
      <c r="L8" s="3"/>
      <c r="M8" s="3"/>
    </row>
    <row r="9" spans="1:13" customFormat="1" ht="18.75" customHeight="1" x14ac:dyDescent="0.25">
      <c r="A9" s="12">
        <v>1</v>
      </c>
      <c r="B9" s="12" t="s">
        <v>641</v>
      </c>
      <c r="C9" s="183" t="s">
        <v>40</v>
      </c>
      <c r="D9" s="183" t="s">
        <v>52</v>
      </c>
      <c r="E9" s="63">
        <v>500</v>
      </c>
      <c r="F9" s="63">
        <v>500</v>
      </c>
      <c r="G9" s="527">
        <f>+F9/E9*100</f>
        <v>100</v>
      </c>
      <c r="H9" s="38">
        <v>103323</v>
      </c>
      <c r="I9" s="277">
        <v>103320</v>
      </c>
      <c r="J9" s="527">
        <f>+I9/H9*100</f>
        <v>99.997096483841929</v>
      </c>
      <c r="L9" s="3"/>
      <c r="M9" s="3"/>
    </row>
    <row r="10" spans="1:13" customFormat="1" ht="18.75" customHeight="1" x14ac:dyDescent="0.25">
      <c r="A10" s="682"/>
      <c r="B10" s="52" t="s">
        <v>642</v>
      </c>
      <c r="C10" s="163"/>
      <c r="D10" s="163"/>
      <c r="E10" s="25"/>
      <c r="F10" s="25"/>
      <c r="G10" s="25"/>
      <c r="H10" s="67">
        <f>+H11</f>
        <v>40210</v>
      </c>
      <c r="I10" s="81">
        <f>+I11</f>
        <v>40207</v>
      </c>
      <c r="J10" s="331">
        <f>+I10/H10*100</f>
        <v>99.992539169360853</v>
      </c>
      <c r="L10" s="3"/>
      <c r="M10" s="3"/>
    </row>
    <row r="11" spans="1:13" customFormat="1" ht="18.75" customHeight="1" x14ac:dyDescent="0.25">
      <c r="A11" s="43">
        <v>1</v>
      </c>
      <c r="B11" s="12" t="s">
        <v>643</v>
      </c>
      <c r="C11" s="183" t="s">
        <v>40</v>
      </c>
      <c r="D11" s="183" t="s">
        <v>52</v>
      </c>
      <c r="E11" s="63">
        <v>500</v>
      </c>
      <c r="F11" s="63">
        <v>500</v>
      </c>
      <c r="G11" s="527">
        <f>+F11/E11*100</f>
        <v>100</v>
      </c>
      <c r="H11" s="38">
        <v>40210</v>
      </c>
      <c r="I11" s="277">
        <v>40207</v>
      </c>
      <c r="J11" s="527">
        <f>+I11/H11*100</f>
        <v>99.992539169360853</v>
      </c>
      <c r="L11" s="3"/>
      <c r="M11" s="3"/>
    </row>
    <row r="12" spans="1:13" customFormat="1" ht="18.75" customHeight="1" x14ac:dyDescent="0.25">
      <c r="A12" s="598"/>
      <c r="B12" s="598" t="s">
        <v>644</v>
      </c>
      <c r="C12" s="163"/>
      <c r="D12" s="163"/>
      <c r="E12" s="25"/>
      <c r="F12" s="39"/>
      <c r="G12" s="25"/>
      <c r="H12" s="67">
        <f>SUM(H13:H27)</f>
        <v>64029</v>
      </c>
      <c r="I12" s="81">
        <f>SUM(I13:I27)</f>
        <v>64027</v>
      </c>
      <c r="J12" s="81">
        <f>+I12*100/+H12</f>
        <v>99.996876415374288</v>
      </c>
      <c r="L12" s="3"/>
      <c r="M12" s="3"/>
    </row>
    <row r="13" spans="1:13" customFormat="1" ht="27" customHeight="1" x14ac:dyDescent="0.25">
      <c r="A13" s="364">
        <v>1</v>
      </c>
      <c r="B13" s="605" t="s">
        <v>645</v>
      </c>
      <c r="C13" s="292" t="s">
        <v>40</v>
      </c>
      <c r="D13" s="183" t="s">
        <v>52</v>
      </c>
      <c r="E13" s="63">
        <v>2</v>
      </c>
      <c r="F13" s="63">
        <v>1.8</v>
      </c>
      <c r="G13" s="527">
        <f>+F13/E13*100</f>
        <v>90</v>
      </c>
      <c r="H13" s="37">
        <v>4572</v>
      </c>
      <c r="I13" s="273">
        <v>4570</v>
      </c>
      <c r="J13" s="277">
        <f>+I13*100/+H13</f>
        <v>99.956255468066487</v>
      </c>
      <c r="L13" s="3"/>
      <c r="M13" s="3"/>
    </row>
    <row r="14" spans="1:13" customFormat="1" ht="40.5" customHeight="1" x14ac:dyDescent="0.25">
      <c r="A14" s="1112">
        <v>2</v>
      </c>
      <c r="B14" s="1030" t="s">
        <v>646</v>
      </c>
      <c r="C14" s="1113" t="s">
        <v>40</v>
      </c>
      <c r="D14" s="607" t="s">
        <v>647</v>
      </c>
      <c r="E14" s="63">
        <v>1</v>
      </c>
      <c r="F14" s="761">
        <v>0.93299999999999994</v>
      </c>
      <c r="G14" s="527">
        <f t="shared" ref="G14:G27" si="0">+F14/E14*100</f>
        <v>93.3</v>
      </c>
      <c r="H14" s="37">
        <v>3575</v>
      </c>
      <c r="I14" s="273">
        <v>3575</v>
      </c>
      <c r="J14" s="277">
        <f t="shared" ref="J14:J36" si="1">+I14*100/+H14</f>
        <v>100</v>
      </c>
      <c r="L14" s="3"/>
      <c r="M14" s="3"/>
    </row>
    <row r="15" spans="1:13" customFormat="1" ht="40.5" customHeight="1" x14ac:dyDescent="0.25">
      <c r="A15" s="1112"/>
      <c r="B15" s="1030"/>
      <c r="C15" s="1113"/>
      <c r="D15" s="607" t="s">
        <v>648</v>
      </c>
      <c r="E15" s="63">
        <v>2</v>
      </c>
      <c r="F15" s="761">
        <v>1.8659999999999999</v>
      </c>
      <c r="G15" s="527">
        <f t="shared" si="0"/>
        <v>93.3</v>
      </c>
      <c r="H15" s="37">
        <v>4575</v>
      </c>
      <c r="I15" s="273">
        <v>4575</v>
      </c>
      <c r="J15" s="277">
        <f t="shared" si="1"/>
        <v>100</v>
      </c>
      <c r="L15" s="3"/>
      <c r="M15" s="3"/>
    </row>
    <row r="16" spans="1:13" customFormat="1" ht="65.25" customHeight="1" x14ac:dyDescent="0.25">
      <c r="A16" s="1112"/>
      <c r="B16" s="1030"/>
      <c r="C16" s="1113"/>
      <c r="D16" s="607" t="s">
        <v>649</v>
      </c>
      <c r="E16" s="63">
        <v>2</v>
      </c>
      <c r="F16" s="761">
        <v>1.8659999999999999</v>
      </c>
      <c r="G16" s="527">
        <f t="shared" si="0"/>
        <v>93.3</v>
      </c>
      <c r="H16" s="37">
        <v>3575</v>
      </c>
      <c r="I16" s="273">
        <v>3575</v>
      </c>
      <c r="J16" s="277">
        <f t="shared" si="1"/>
        <v>100</v>
      </c>
      <c r="L16" s="3"/>
      <c r="M16" s="3"/>
    </row>
    <row r="17" spans="1:13" customFormat="1" ht="25.5" customHeight="1" x14ac:dyDescent="0.25">
      <c r="A17" s="364">
        <v>3</v>
      </c>
      <c r="B17" s="605" t="s">
        <v>650</v>
      </c>
      <c r="C17" s="292" t="s">
        <v>40</v>
      </c>
      <c r="D17" s="183" t="s">
        <v>220</v>
      </c>
      <c r="E17" s="63">
        <v>1</v>
      </c>
      <c r="F17" s="762">
        <v>0.93299999999999994</v>
      </c>
      <c r="G17" s="527">
        <f t="shared" si="0"/>
        <v>93.3</v>
      </c>
      <c r="H17" s="37">
        <v>3575</v>
      </c>
      <c r="I17" s="273">
        <v>3575</v>
      </c>
      <c r="J17" s="277">
        <f t="shared" si="1"/>
        <v>100</v>
      </c>
      <c r="L17" s="3"/>
      <c r="M17" s="3"/>
    </row>
    <row r="18" spans="1:13" customFormat="1" ht="18.75" customHeight="1" x14ac:dyDescent="0.25">
      <c r="A18" s="1112">
        <v>4</v>
      </c>
      <c r="B18" s="1030" t="s">
        <v>651</v>
      </c>
      <c r="C18" s="1113" t="s">
        <v>40</v>
      </c>
      <c r="D18" s="292" t="s">
        <v>652</v>
      </c>
      <c r="E18" s="63">
        <v>1</v>
      </c>
      <c r="F18" s="763">
        <v>0.93299999999999994</v>
      </c>
      <c r="G18" s="527">
        <f t="shared" si="0"/>
        <v>93.3</v>
      </c>
      <c r="H18" s="37">
        <v>3575</v>
      </c>
      <c r="I18" s="273">
        <v>3575</v>
      </c>
      <c r="J18" s="277">
        <f t="shared" si="1"/>
        <v>100</v>
      </c>
      <c r="L18" s="3"/>
      <c r="M18" s="3"/>
    </row>
    <row r="19" spans="1:13" customFormat="1" ht="18.75" customHeight="1" x14ac:dyDescent="0.25">
      <c r="A19" s="1112"/>
      <c r="B19" s="1030"/>
      <c r="C19" s="1113"/>
      <c r="D19" s="292" t="s">
        <v>222</v>
      </c>
      <c r="E19" s="63">
        <v>5</v>
      </c>
      <c r="F19" s="763">
        <v>4.665</v>
      </c>
      <c r="G19" s="527">
        <f t="shared" si="0"/>
        <v>93.300000000000011</v>
      </c>
      <c r="H19" s="37">
        <v>4000</v>
      </c>
      <c r="I19" s="273">
        <v>4000</v>
      </c>
      <c r="J19" s="277">
        <f t="shared" si="1"/>
        <v>100</v>
      </c>
      <c r="L19" s="3"/>
      <c r="M19" s="3"/>
    </row>
    <row r="20" spans="1:13" customFormat="1" ht="30" customHeight="1" x14ac:dyDescent="0.25">
      <c r="A20" s="364">
        <v>5</v>
      </c>
      <c r="B20" s="605" t="s">
        <v>653</v>
      </c>
      <c r="C20" s="292" t="s">
        <v>40</v>
      </c>
      <c r="D20" s="183" t="s">
        <v>220</v>
      </c>
      <c r="E20" s="63">
        <v>12</v>
      </c>
      <c r="F20" s="762">
        <v>11.196</v>
      </c>
      <c r="G20" s="527">
        <f t="shared" si="0"/>
        <v>93.3</v>
      </c>
      <c r="H20" s="37">
        <v>4575</v>
      </c>
      <c r="I20" s="273">
        <v>4575</v>
      </c>
      <c r="J20" s="277">
        <f t="shared" si="1"/>
        <v>100</v>
      </c>
      <c r="L20" s="3"/>
      <c r="M20" s="3"/>
    </row>
    <row r="21" spans="1:13" customFormat="1" ht="29.25" customHeight="1" x14ac:dyDescent="0.25">
      <c r="A21" s="364">
        <v>6</v>
      </c>
      <c r="B21" s="605" t="s">
        <v>654</v>
      </c>
      <c r="C21" s="292" t="s">
        <v>40</v>
      </c>
      <c r="D21" s="183" t="s">
        <v>220</v>
      </c>
      <c r="E21" s="63">
        <v>12</v>
      </c>
      <c r="F21" s="762">
        <v>11.196</v>
      </c>
      <c r="G21" s="527">
        <f t="shared" si="0"/>
        <v>93.3</v>
      </c>
      <c r="H21" s="37">
        <v>4575</v>
      </c>
      <c r="I21" s="273">
        <v>4575</v>
      </c>
      <c r="J21" s="277">
        <f t="shared" si="1"/>
        <v>100</v>
      </c>
      <c r="L21" s="3"/>
      <c r="M21" s="3"/>
    </row>
    <row r="22" spans="1:13" customFormat="1" ht="18.75" customHeight="1" x14ac:dyDescent="0.25">
      <c r="A22" s="1112">
        <v>7</v>
      </c>
      <c r="B22" s="1030" t="s">
        <v>655</v>
      </c>
      <c r="C22" s="1038" t="s">
        <v>40</v>
      </c>
      <c r="D22" s="292" t="s">
        <v>656</v>
      </c>
      <c r="E22" s="63">
        <v>12</v>
      </c>
      <c r="F22" s="763">
        <v>11.196</v>
      </c>
      <c r="G22" s="527">
        <f t="shared" si="0"/>
        <v>93.3</v>
      </c>
      <c r="H22" s="37">
        <v>4575</v>
      </c>
      <c r="I22" s="273">
        <v>4575</v>
      </c>
      <c r="J22" s="277">
        <f t="shared" si="1"/>
        <v>100</v>
      </c>
      <c r="L22" s="3"/>
      <c r="M22" s="3"/>
    </row>
    <row r="23" spans="1:13" customFormat="1" ht="18.75" customHeight="1" x14ac:dyDescent="0.25">
      <c r="A23" s="1112"/>
      <c r="B23" s="1030"/>
      <c r="C23" s="1038" t="s">
        <v>40</v>
      </c>
      <c r="D23" s="607" t="s">
        <v>657</v>
      </c>
      <c r="E23" s="63">
        <v>12</v>
      </c>
      <c r="F23" s="761">
        <v>11.196</v>
      </c>
      <c r="G23" s="527">
        <f t="shared" si="0"/>
        <v>93.3</v>
      </c>
      <c r="H23" s="37">
        <v>4575</v>
      </c>
      <c r="I23" s="273">
        <v>4575</v>
      </c>
      <c r="J23" s="277">
        <f t="shared" si="1"/>
        <v>100</v>
      </c>
      <c r="L23" s="3"/>
      <c r="M23" s="3"/>
    </row>
    <row r="24" spans="1:13" customFormat="1" ht="18.75" customHeight="1" x14ac:dyDescent="0.25">
      <c r="A24" s="364">
        <v>8</v>
      </c>
      <c r="B24" s="605" t="s">
        <v>658</v>
      </c>
      <c r="C24" s="292" t="s">
        <v>40</v>
      </c>
      <c r="D24" s="183" t="s">
        <v>549</v>
      </c>
      <c r="E24" s="63">
        <v>276</v>
      </c>
      <c r="F24" s="762">
        <v>257.50799999999998</v>
      </c>
      <c r="G24" s="527">
        <f t="shared" si="0"/>
        <v>93.3</v>
      </c>
      <c r="H24" s="37">
        <v>4575</v>
      </c>
      <c r="I24" s="273">
        <v>4575</v>
      </c>
      <c r="J24" s="277">
        <f t="shared" si="1"/>
        <v>100</v>
      </c>
      <c r="L24" s="3"/>
      <c r="M24" s="3"/>
    </row>
    <row r="25" spans="1:13" customFormat="1" ht="18.75" customHeight="1" x14ac:dyDescent="0.25">
      <c r="A25" s="1112">
        <v>9</v>
      </c>
      <c r="B25" s="1030" t="s">
        <v>659</v>
      </c>
      <c r="C25" s="1038" t="s">
        <v>40</v>
      </c>
      <c r="D25" s="292" t="s">
        <v>501</v>
      </c>
      <c r="E25" s="63">
        <v>24</v>
      </c>
      <c r="F25" s="763">
        <v>22.391999999999999</v>
      </c>
      <c r="G25" s="527">
        <f t="shared" si="0"/>
        <v>93.3</v>
      </c>
      <c r="H25" s="37">
        <v>4575</v>
      </c>
      <c r="I25" s="273">
        <v>4575</v>
      </c>
      <c r="J25" s="277">
        <f t="shared" si="1"/>
        <v>100</v>
      </c>
      <c r="L25" s="3"/>
      <c r="M25" s="3"/>
    </row>
    <row r="26" spans="1:13" customFormat="1" ht="18.75" customHeight="1" x14ac:dyDescent="0.25">
      <c r="A26" s="1112"/>
      <c r="B26" s="1030"/>
      <c r="C26" s="1038" t="s">
        <v>40</v>
      </c>
      <c r="D26" s="292" t="s">
        <v>466</v>
      </c>
      <c r="E26" s="63">
        <v>150</v>
      </c>
      <c r="F26" s="763">
        <v>139.94999999999999</v>
      </c>
      <c r="G26" s="527">
        <f t="shared" si="0"/>
        <v>93.3</v>
      </c>
      <c r="H26" s="37">
        <v>4575</v>
      </c>
      <c r="I26" s="273">
        <v>4575</v>
      </c>
      <c r="J26" s="277">
        <f t="shared" si="1"/>
        <v>100</v>
      </c>
      <c r="L26" s="3"/>
      <c r="M26" s="3"/>
    </row>
    <row r="27" spans="1:13" customFormat="1" ht="30" customHeight="1" x14ac:dyDescent="0.25">
      <c r="A27" s="364">
        <v>10</v>
      </c>
      <c r="B27" s="605" t="s">
        <v>660</v>
      </c>
      <c r="C27" s="292" t="s">
        <v>40</v>
      </c>
      <c r="D27" s="183" t="s">
        <v>536</v>
      </c>
      <c r="E27" s="63">
        <v>8</v>
      </c>
      <c r="F27" s="762">
        <v>7.4639999999999995</v>
      </c>
      <c r="G27" s="527">
        <f t="shared" si="0"/>
        <v>93.3</v>
      </c>
      <c r="H27" s="37">
        <v>4557</v>
      </c>
      <c r="I27" s="273">
        <v>4557</v>
      </c>
      <c r="J27" s="277">
        <f t="shared" si="1"/>
        <v>100</v>
      </c>
      <c r="L27" s="3"/>
      <c r="M27" s="3"/>
    </row>
    <row r="28" spans="1:13" customFormat="1" ht="18.75" customHeight="1" x14ac:dyDescent="0.25">
      <c r="A28" s="682"/>
      <c r="B28" s="52" t="s">
        <v>661</v>
      </c>
      <c r="C28" s="163"/>
      <c r="D28" s="163"/>
      <c r="E28" s="25"/>
      <c r="F28" s="25"/>
      <c r="G28" s="25"/>
      <c r="H28" s="67">
        <f>+H29</f>
        <v>7737</v>
      </c>
      <c r="I28" s="81">
        <f>+I29</f>
        <v>7736</v>
      </c>
      <c r="J28" s="81">
        <f>+I28*100/+H28</f>
        <v>99.98707509370557</v>
      </c>
      <c r="L28" s="3"/>
      <c r="M28" s="3"/>
    </row>
    <row r="29" spans="1:13" customFormat="1" ht="18.75" customHeight="1" x14ac:dyDescent="0.25">
      <c r="A29" s="125">
        <v>1</v>
      </c>
      <c r="B29" s="605" t="s">
        <v>1950</v>
      </c>
      <c r="C29" s="607" t="s">
        <v>40</v>
      </c>
      <c r="D29" s="607" t="s">
        <v>459</v>
      </c>
      <c r="E29" s="390">
        <v>12</v>
      </c>
      <c r="F29" s="390"/>
      <c r="G29" s="390"/>
      <c r="H29" s="37">
        <v>7737</v>
      </c>
      <c r="I29" s="273">
        <v>7736</v>
      </c>
      <c r="J29" s="277">
        <f t="shared" si="1"/>
        <v>99.98707509370557</v>
      </c>
      <c r="L29" s="3"/>
      <c r="M29" s="3"/>
    </row>
    <row r="30" spans="1:13" customFormat="1" ht="18.75" customHeight="1" x14ac:dyDescent="0.25">
      <c r="A30" s="43"/>
      <c r="B30" s="340" t="s">
        <v>662</v>
      </c>
      <c r="C30" s="503"/>
      <c r="D30" s="503"/>
      <c r="E30" s="506"/>
      <c r="F30" s="506"/>
      <c r="G30" s="506"/>
      <c r="H30" s="67">
        <f>SUM(H31:H34)</f>
        <v>234697</v>
      </c>
      <c r="I30" s="81">
        <f>SUM(I31:I34)</f>
        <v>209785</v>
      </c>
      <c r="J30" s="81">
        <f>+I30*100/+H30</f>
        <v>89.385462958623251</v>
      </c>
      <c r="L30" s="3"/>
      <c r="M30" s="3"/>
    </row>
    <row r="31" spans="1:13" customFormat="1" ht="39" customHeight="1" x14ac:dyDescent="0.25">
      <c r="A31" s="43">
        <v>1</v>
      </c>
      <c r="B31" s="19" t="s">
        <v>663</v>
      </c>
      <c r="C31" s="164" t="s">
        <v>46</v>
      </c>
      <c r="D31" s="607" t="s">
        <v>664</v>
      </c>
      <c r="E31" s="38">
        <v>501</v>
      </c>
      <c r="F31" s="390"/>
      <c r="G31" s="390"/>
      <c r="H31" s="38">
        <v>7673</v>
      </c>
      <c r="I31" s="277">
        <v>6661</v>
      </c>
      <c r="J31" s="277">
        <f t="shared" si="1"/>
        <v>86.810895347321775</v>
      </c>
      <c r="L31" s="3"/>
      <c r="M31" s="3"/>
    </row>
    <row r="32" spans="1:13" customFormat="1" ht="63.75" customHeight="1" x14ac:dyDescent="0.25">
      <c r="A32" s="43">
        <v>2</v>
      </c>
      <c r="B32" s="19" t="s">
        <v>665</v>
      </c>
      <c r="C32" s="164" t="s">
        <v>40</v>
      </c>
      <c r="D32" s="607" t="s">
        <v>549</v>
      </c>
      <c r="E32" s="38">
        <v>88334</v>
      </c>
      <c r="F32" s="390"/>
      <c r="G32" s="390"/>
      <c r="H32" s="38">
        <v>90024</v>
      </c>
      <c r="I32" s="277">
        <v>79024</v>
      </c>
      <c r="J32" s="277">
        <f t="shared" si="1"/>
        <v>87.781036168132943</v>
      </c>
      <c r="L32" s="3"/>
      <c r="M32" s="3"/>
    </row>
    <row r="33" spans="1:13" customFormat="1" ht="53.25" customHeight="1" x14ac:dyDescent="0.25">
      <c r="A33" s="43">
        <v>3</v>
      </c>
      <c r="B33" s="19" t="s">
        <v>666</v>
      </c>
      <c r="C33" s="164" t="s">
        <v>667</v>
      </c>
      <c r="D33" s="607" t="s">
        <v>668</v>
      </c>
      <c r="E33" s="38">
        <v>33000</v>
      </c>
      <c r="F33" s="390"/>
      <c r="G33" s="390"/>
      <c r="H33" s="38">
        <v>87000</v>
      </c>
      <c r="I33" s="277">
        <v>76000</v>
      </c>
      <c r="J33" s="277">
        <f t="shared" si="1"/>
        <v>87.356321839080465</v>
      </c>
      <c r="L33" s="3"/>
      <c r="M33" s="3"/>
    </row>
    <row r="34" spans="1:13" customFormat="1" ht="30" customHeight="1" x14ac:dyDescent="0.25">
      <c r="A34" s="43">
        <v>4</v>
      </c>
      <c r="B34" s="19" t="s">
        <v>669</v>
      </c>
      <c r="C34" s="164" t="s">
        <v>670</v>
      </c>
      <c r="D34" s="607" t="s">
        <v>671</v>
      </c>
      <c r="E34" s="38">
        <v>126500</v>
      </c>
      <c r="F34" s="390"/>
      <c r="G34" s="390"/>
      <c r="H34" s="38">
        <v>50000</v>
      </c>
      <c r="I34" s="277">
        <v>48100</v>
      </c>
      <c r="J34" s="277">
        <f t="shared" si="1"/>
        <v>96.2</v>
      </c>
      <c r="L34" s="3"/>
      <c r="M34" s="3"/>
    </row>
    <row r="35" spans="1:13" customFormat="1" ht="18.75" customHeight="1" x14ac:dyDescent="0.25">
      <c r="A35" s="364"/>
      <c r="B35" s="598" t="s">
        <v>672</v>
      </c>
      <c r="C35" s="168"/>
      <c r="D35" s="168"/>
      <c r="E35" s="486"/>
      <c r="F35" s="486"/>
      <c r="G35" s="486"/>
      <c r="H35" s="67">
        <f>+H36</f>
        <v>162337</v>
      </c>
      <c r="I35" s="81">
        <f>+I36</f>
        <v>162332</v>
      </c>
      <c r="J35" s="81">
        <f>+I35*100/+H35</f>
        <v>99.996919987433543</v>
      </c>
      <c r="L35" s="3"/>
      <c r="M35" s="3"/>
    </row>
    <row r="36" spans="1:13" customFormat="1" ht="18.75" customHeight="1" x14ac:dyDescent="0.25">
      <c r="A36" s="364">
        <v>1</v>
      </c>
      <c r="B36" s="570" t="s">
        <v>673</v>
      </c>
      <c r="C36" s="607" t="s">
        <v>40</v>
      </c>
      <c r="D36" s="607" t="s">
        <v>459</v>
      </c>
      <c r="E36" s="390" t="s">
        <v>674</v>
      </c>
      <c r="F36" s="390"/>
      <c r="G36" s="390"/>
      <c r="H36" s="37">
        <v>162337</v>
      </c>
      <c r="I36" s="273">
        <v>162332</v>
      </c>
      <c r="J36" s="277">
        <f t="shared" si="1"/>
        <v>99.996919987433543</v>
      </c>
      <c r="L36" s="3"/>
      <c r="M36" s="3"/>
    </row>
    <row r="37" spans="1:13" customFormat="1" ht="18.75" customHeight="1" x14ac:dyDescent="0.25">
      <c r="A37" s="764"/>
      <c r="B37" s="52" t="s">
        <v>675</v>
      </c>
      <c r="C37" s="765"/>
      <c r="D37" s="765"/>
      <c r="E37" s="872"/>
      <c r="F37" s="873"/>
      <c r="G37" s="872"/>
      <c r="H37" s="67">
        <f>SUM(H38:H45)</f>
        <v>260304</v>
      </c>
      <c r="I37" s="81">
        <f>SUM(I38:I45)</f>
        <v>260302</v>
      </c>
      <c r="J37" s="81">
        <v>99</v>
      </c>
      <c r="L37" s="3"/>
      <c r="M37" s="3"/>
    </row>
    <row r="38" spans="1:13" customFormat="1" ht="28.5" customHeight="1" x14ac:dyDescent="0.25">
      <c r="A38" s="43">
        <v>1</v>
      </c>
      <c r="B38" s="570" t="s">
        <v>676</v>
      </c>
      <c r="C38" s="607" t="s">
        <v>46</v>
      </c>
      <c r="D38" s="607" t="s">
        <v>459</v>
      </c>
      <c r="E38" s="37">
        <v>800</v>
      </c>
      <c r="F38" s="390">
        <v>792</v>
      </c>
      <c r="G38" s="273">
        <f>+F38/E38*100</f>
        <v>99</v>
      </c>
      <c r="H38" s="766">
        <v>208304</v>
      </c>
      <c r="I38" s="767">
        <v>208302</v>
      </c>
      <c r="J38" s="273">
        <f>+I38/H38*100</f>
        <v>99.999039864812971</v>
      </c>
      <c r="L38" s="3"/>
      <c r="M38" s="3"/>
    </row>
    <row r="39" spans="1:13" customFormat="1" ht="25.5" customHeight="1" x14ac:dyDescent="0.25">
      <c r="A39" s="43">
        <v>2</v>
      </c>
      <c r="B39" s="570" t="s">
        <v>677</v>
      </c>
      <c r="C39" s="607" t="s">
        <v>46</v>
      </c>
      <c r="D39" s="607" t="s">
        <v>678</v>
      </c>
      <c r="E39" s="37">
        <v>24</v>
      </c>
      <c r="F39" s="390">
        <v>21</v>
      </c>
      <c r="G39" s="273">
        <f t="shared" ref="G39:G45" si="2">+F39/E39*100</f>
        <v>87.5</v>
      </c>
      <c r="H39" s="766">
        <v>4000</v>
      </c>
      <c r="I39" s="767">
        <v>4000</v>
      </c>
      <c r="J39" s="273">
        <f t="shared" ref="J39:J60" si="3">+I39/H39*100</f>
        <v>100</v>
      </c>
      <c r="L39" s="3"/>
      <c r="M39" s="3"/>
    </row>
    <row r="40" spans="1:13" customFormat="1" ht="18.75" customHeight="1" x14ac:dyDescent="0.25">
      <c r="A40" s="43">
        <v>3</v>
      </c>
      <c r="B40" s="570" t="s">
        <v>679</v>
      </c>
      <c r="C40" s="607" t="s">
        <v>46</v>
      </c>
      <c r="D40" s="607" t="s">
        <v>680</v>
      </c>
      <c r="E40" s="37">
        <v>30</v>
      </c>
      <c r="F40" s="390">
        <v>23</v>
      </c>
      <c r="G40" s="273">
        <f t="shared" si="2"/>
        <v>76.666666666666671</v>
      </c>
      <c r="H40" s="766">
        <v>6000</v>
      </c>
      <c r="I40" s="767">
        <v>6000</v>
      </c>
      <c r="J40" s="273">
        <f t="shared" si="3"/>
        <v>100</v>
      </c>
      <c r="L40" s="3"/>
      <c r="M40" s="3"/>
    </row>
    <row r="41" spans="1:13" customFormat="1" ht="18.75" customHeight="1" x14ac:dyDescent="0.25">
      <c r="A41" s="43">
        <v>4</v>
      </c>
      <c r="B41" s="570" t="s">
        <v>681</v>
      </c>
      <c r="C41" s="607" t="s">
        <v>46</v>
      </c>
      <c r="D41" s="607" t="s">
        <v>682</v>
      </c>
      <c r="E41" s="37">
        <v>20</v>
      </c>
      <c r="F41" s="390">
        <v>13</v>
      </c>
      <c r="G41" s="273">
        <f t="shared" si="2"/>
        <v>65</v>
      </c>
      <c r="H41" s="766">
        <v>1500</v>
      </c>
      <c r="I41" s="767">
        <v>1500</v>
      </c>
      <c r="J41" s="273">
        <f t="shared" si="3"/>
        <v>100</v>
      </c>
      <c r="L41" s="3"/>
      <c r="M41" s="3"/>
    </row>
    <row r="42" spans="1:13" customFormat="1" ht="18.75" customHeight="1" x14ac:dyDescent="0.25">
      <c r="A42" s="43">
        <v>5</v>
      </c>
      <c r="B42" s="570" t="s">
        <v>683</v>
      </c>
      <c r="C42" s="607" t="s">
        <v>46</v>
      </c>
      <c r="D42" s="607" t="s">
        <v>684</v>
      </c>
      <c r="E42" s="37">
        <v>100</v>
      </c>
      <c r="F42" s="390">
        <v>80</v>
      </c>
      <c r="G42" s="273">
        <f t="shared" si="2"/>
        <v>80</v>
      </c>
      <c r="H42" s="766">
        <v>25000</v>
      </c>
      <c r="I42" s="767">
        <v>25000</v>
      </c>
      <c r="J42" s="273">
        <f t="shared" si="3"/>
        <v>100</v>
      </c>
      <c r="L42" s="3"/>
      <c r="M42" s="3"/>
    </row>
    <row r="43" spans="1:13" customFormat="1" ht="27" customHeight="1" x14ac:dyDescent="0.25">
      <c r="A43" s="955">
        <v>6</v>
      </c>
      <c r="B43" s="1030" t="s">
        <v>685</v>
      </c>
      <c r="C43" s="1038" t="s">
        <v>46</v>
      </c>
      <c r="D43" s="607" t="s">
        <v>686</v>
      </c>
      <c r="E43" s="37">
        <v>35</v>
      </c>
      <c r="F43" s="390">
        <v>15</v>
      </c>
      <c r="G43" s="273">
        <f t="shared" si="2"/>
        <v>42.857142857142854</v>
      </c>
      <c r="H43" s="766">
        <v>2000</v>
      </c>
      <c r="I43" s="767">
        <v>2000</v>
      </c>
      <c r="J43" s="273">
        <f t="shared" si="3"/>
        <v>100</v>
      </c>
      <c r="L43" s="3"/>
      <c r="M43" s="3"/>
    </row>
    <row r="44" spans="1:13" customFormat="1" ht="18.75" customHeight="1" x14ac:dyDescent="0.25">
      <c r="A44" s="955"/>
      <c r="B44" s="1030"/>
      <c r="C44" s="1038"/>
      <c r="D44" s="607" t="s">
        <v>687</v>
      </c>
      <c r="E44" s="37">
        <v>43</v>
      </c>
      <c r="F44" s="390">
        <v>40</v>
      </c>
      <c r="G44" s="273">
        <f t="shared" si="2"/>
        <v>93.023255813953483</v>
      </c>
      <c r="H44" s="767">
        <v>7000</v>
      </c>
      <c r="I44" s="767">
        <v>7000</v>
      </c>
      <c r="J44" s="273">
        <f t="shared" si="3"/>
        <v>100</v>
      </c>
      <c r="L44" s="3"/>
      <c r="M44" s="3"/>
    </row>
    <row r="45" spans="1:13" customFormat="1" ht="18.75" customHeight="1" x14ac:dyDescent="0.25">
      <c r="A45" s="955"/>
      <c r="B45" s="1030"/>
      <c r="C45" s="1038"/>
      <c r="D45" s="607" t="s">
        <v>688</v>
      </c>
      <c r="E45" s="37">
        <v>40</v>
      </c>
      <c r="F45" s="390">
        <v>29</v>
      </c>
      <c r="G45" s="273">
        <f t="shared" si="2"/>
        <v>72.5</v>
      </c>
      <c r="H45" s="767">
        <v>6500</v>
      </c>
      <c r="I45" s="767">
        <v>6500</v>
      </c>
      <c r="J45" s="273">
        <f t="shared" si="3"/>
        <v>100</v>
      </c>
      <c r="L45" s="3"/>
      <c r="M45" s="3"/>
    </row>
    <row r="46" spans="1:13" customFormat="1" ht="18.75" customHeight="1" x14ac:dyDescent="0.25">
      <c r="A46" s="768"/>
      <c r="B46" s="769" t="s">
        <v>689</v>
      </c>
      <c r="C46" s="163"/>
      <c r="D46" s="163"/>
      <c r="E46" s="25"/>
      <c r="F46" s="25"/>
      <c r="G46" s="25"/>
      <c r="H46" s="67">
        <f>SUM(H47:H52)</f>
        <v>242870</v>
      </c>
      <c r="I46" s="81">
        <f>SUM(I47:I52)</f>
        <v>241208</v>
      </c>
      <c r="J46" s="81">
        <f t="shared" si="3"/>
        <v>99.31568328735537</v>
      </c>
      <c r="K46" s="88"/>
      <c r="L46" s="3"/>
      <c r="M46" s="3"/>
    </row>
    <row r="47" spans="1:13" customFormat="1" ht="18.75" customHeight="1" x14ac:dyDescent="0.25">
      <c r="A47" s="40">
        <v>1</v>
      </c>
      <c r="B47" s="19" t="s">
        <v>690</v>
      </c>
      <c r="C47" s="164" t="s">
        <v>40</v>
      </c>
      <c r="D47" s="183" t="s">
        <v>691</v>
      </c>
      <c r="E47" s="16">
        <v>2441</v>
      </c>
      <c r="F47" s="16">
        <v>2441</v>
      </c>
      <c r="G47" s="527">
        <f>+F47/E47*100</f>
        <v>100</v>
      </c>
      <c r="H47" s="38">
        <v>46880</v>
      </c>
      <c r="I47" s="277">
        <v>46351.15</v>
      </c>
      <c r="J47" s="273">
        <f t="shared" si="3"/>
        <v>98.871906996587029</v>
      </c>
      <c r="K47" s="88"/>
      <c r="L47" s="3"/>
      <c r="M47" s="3"/>
    </row>
    <row r="48" spans="1:13" customFormat="1" ht="18.75" customHeight="1" x14ac:dyDescent="0.25">
      <c r="A48" s="40">
        <v>2</v>
      </c>
      <c r="B48" s="19" t="s">
        <v>692</v>
      </c>
      <c r="C48" s="164" t="s">
        <v>40</v>
      </c>
      <c r="D48" s="183" t="s">
        <v>693</v>
      </c>
      <c r="E48" s="16">
        <v>204</v>
      </c>
      <c r="F48" s="16">
        <v>204</v>
      </c>
      <c r="G48" s="527">
        <f t="shared" ref="G48:G59" si="4">+F48/E48*100</f>
        <v>100</v>
      </c>
      <c r="H48" s="38">
        <v>36876</v>
      </c>
      <c r="I48" s="277">
        <v>36866.89</v>
      </c>
      <c r="J48" s="273">
        <f t="shared" si="3"/>
        <v>99.975295585204478</v>
      </c>
      <c r="L48" s="3"/>
      <c r="M48" s="3"/>
    </row>
    <row r="49" spans="1:13" customFormat="1" ht="25.5" customHeight="1" x14ac:dyDescent="0.25">
      <c r="A49" s="40">
        <v>3</v>
      </c>
      <c r="B49" s="19" t="s">
        <v>694</v>
      </c>
      <c r="C49" s="164" t="s">
        <v>40</v>
      </c>
      <c r="D49" s="164" t="s">
        <v>695</v>
      </c>
      <c r="E49" s="38">
        <v>4000</v>
      </c>
      <c r="F49" s="38">
        <v>4000</v>
      </c>
      <c r="G49" s="527">
        <f t="shared" si="4"/>
        <v>100</v>
      </c>
      <c r="H49" s="38">
        <v>37067</v>
      </c>
      <c r="I49" s="277">
        <v>37066.89</v>
      </c>
      <c r="J49" s="273">
        <f t="shared" si="3"/>
        <v>99.999703240078773</v>
      </c>
      <c r="L49" s="3"/>
      <c r="M49" s="3"/>
    </row>
    <row r="50" spans="1:13" customFormat="1" ht="18.75" customHeight="1" x14ac:dyDescent="0.25">
      <c r="A50" s="40">
        <v>4</v>
      </c>
      <c r="B50" s="19" t="s">
        <v>696</v>
      </c>
      <c r="C50" s="164" t="s">
        <v>40</v>
      </c>
      <c r="D50" s="183" t="s">
        <v>697</v>
      </c>
      <c r="E50" s="16">
        <v>16</v>
      </c>
      <c r="F50" s="16">
        <v>16</v>
      </c>
      <c r="G50" s="527">
        <f t="shared" si="4"/>
        <v>100</v>
      </c>
      <c r="H50" s="38">
        <v>40251</v>
      </c>
      <c r="I50" s="277">
        <v>40251.99</v>
      </c>
      <c r="J50" s="273">
        <f t="shared" si="3"/>
        <v>100.00245956622196</v>
      </c>
      <c r="L50" s="3"/>
      <c r="M50" s="3"/>
    </row>
    <row r="51" spans="1:13" customFormat="1" ht="18.75" customHeight="1" x14ac:dyDescent="0.25">
      <c r="A51" s="40">
        <v>5</v>
      </c>
      <c r="B51" s="19" t="s">
        <v>698</v>
      </c>
      <c r="C51" s="164" t="s">
        <v>40</v>
      </c>
      <c r="D51" s="183" t="s">
        <v>691</v>
      </c>
      <c r="E51" s="16">
        <v>7</v>
      </c>
      <c r="F51" s="16">
        <v>7</v>
      </c>
      <c r="G51" s="527">
        <f t="shared" si="4"/>
        <v>100</v>
      </c>
      <c r="H51" s="38">
        <v>42992</v>
      </c>
      <c r="I51" s="277">
        <v>41867.08</v>
      </c>
      <c r="J51" s="273">
        <f t="shared" si="3"/>
        <v>97.383420171194643</v>
      </c>
      <c r="L51" s="3"/>
      <c r="M51" s="3"/>
    </row>
    <row r="52" spans="1:13" customFormat="1" ht="18.75" customHeight="1" x14ac:dyDescent="0.25">
      <c r="A52" s="40">
        <v>6</v>
      </c>
      <c r="B52" s="19" t="s">
        <v>699</v>
      </c>
      <c r="C52" s="164" t="s">
        <v>40</v>
      </c>
      <c r="D52" s="183" t="s">
        <v>700</v>
      </c>
      <c r="E52" s="124">
        <v>87</v>
      </c>
      <c r="F52" s="124">
        <v>87</v>
      </c>
      <c r="G52" s="527">
        <f t="shared" si="4"/>
        <v>100</v>
      </c>
      <c r="H52" s="38">
        <v>38804</v>
      </c>
      <c r="I52" s="277">
        <v>38804</v>
      </c>
      <c r="J52" s="273">
        <f t="shared" si="3"/>
        <v>100</v>
      </c>
      <c r="L52" s="3"/>
      <c r="M52" s="3"/>
    </row>
    <row r="53" spans="1:13" customFormat="1" ht="18.75" customHeight="1" x14ac:dyDescent="0.25">
      <c r="A53" s="764"/>
      <c r="B53" s="52" t="s">
        <v>701</v>
      </c>
      <c r="C53" s="183"/>
      <c r="D53" s="183"/>
      <c r="E53" s="63"/>
      <c r="F53" s="63"/>
      <c r="G53" s="63"/>
      <c r="H53" s="67">
        <f>SUM(H54:H59)</f>
        <v>176038</v>
      </c>
      <c r="I53" s="81">
        <f>SUM(I54:I59)</f>
        <v>176036</v>
      </c>
      <c r="J53" s="273">
        <f t="shared" si="3"/>
        <v>99.998863881661919</v>
      </c>
      <c r="L53" s="3"/>
      <c r="M53" s="3"/>
    </row>
    <row r="54" spans="1:13" customFormat="1" ht="18.75" customHeight="1" x14ac:dyDescent="0.25">
      <c r="A54" s="43">
        <v>1</v>
      </c>
      <c r="B54" s="604" t="s">
        <v>702</v>
      </c>
      <c r="C54" s="183" t="s">
        <v>46</v>
      </c>
      <c r="D54" s="183" t="s">
        <v>521</v>
      </c>
      <c r="E54" s="38">
        <v>3100</v>
      </c>
      <c r="F54" s="38">
        <v>3100</v>
      </c>
      <c r="G54" s="527">
        <f t="shared" si="4"/>
        <v>100</v>
      </c>
      <c r="H54" s="38">
        <v>29500</v>
      </c>
      <c r="I54" s="277">
        <v>29500</v>
      </c>
      <c r="J54" s="273">
        <f t="shared" si="3"/>
        <v>100</v>
      </c>
      <c r="L54" s="3"/>
      <c r="M54" s="3"/>
    </row>
    <row r="55" spans="1:13" customFormat="1" ht="18.75" customHeight="1" x14ac:dyDescent="0.25">
      <c r="A55" s="43">
        <v>2</v>
      </c>
      <c r="B55" s="604" t="s">
        <v>703</v>
      </c>
      <c r="C55" s="183" t="s">
        <v>46</v>
      </c>
      <c r="D55" s="183" t="s">
        <v>220</v>
      </c>
      <c r="E55" s="63">
        <v>400</v>
      </c>
      <c r="F55" s="63">
        <v>400</v>
      </c>
      <c r="G55" s="527">
        <f t="shared" si="4"/>
        <v>100</v>
      </c>
      <c r="H55" s="38">
        <v>29613</v>
      </c>
      <c r="I55" s="277">
        <v>29611</v>
      </c>
      <c r="J55" s="273">
        <f t="shared" si="3"/>
        <v>99.993246209435043</v>
      </c>
      <c r="L55" s="3"/>
      <c r="M55" s="3"/>
    </row>
    <row r="56" spans="1:13" customFormat="1" ht="18.75" customHeight="1" x14ac:dyDescent="0.25">
      <c r="A56" s="43">
        <v>3</v>
      </c>
      <c r="B56" s="604" t="s">
        <v>704</v>
      </c>
      <c r="C56" s="183" t="s">
        <v>46</v>
      </c>
      <c r="D56" s="183" t="s">
        <v>705</v>
      </c>
      <c r="E56" s="63">
        <v>3100</v>
      </c>
      <c r="F56" s="63">
        <v>3100</v>
      </c>
      <c r="G56" s="527">
        <f t="shared" si="4"/>
        <v>100</v>
      </c>
      <c r="H56" s="38">
        <v>27500</v>
      </c>
      <c r="I56" s="277">
        <v>27500</v>
      </c>
      <c r="J56" s="273">
        <f t="shared" si="3"/>
        <v>100</v>
      </c>
      <c r="L56" s="3"/>
      <c r="M56" s="3"/>
    </row>
    <row r="57" spans="1:13" customFormat="1" ht="18.75" customHeight="1" x14ac:dyDescent="0.25">
      <c r="A57" s="43">
        <v>4</v>
      </c>
      <c r="B57" s="604" t="s">
        <v>706</v>
      </c>
      <c r="C57" s="183" t="s">
        <v>46</v>
      </c>
      <c r="D57" s="183" t="s">
        <v>707</v>
      </c>
      <c r="E57" s="63">
        <v>7000</v>
      </c>
      <c r="F57" s="63">
        <v>7000</v>
      </c>
      <c r="G57" s="527">
        <f t="shared" si="4"/>
        <v>100</v>
      </c>
      <c r="H57" s="38">
        <v>30475</v>
      </c>
      <c r="I57" s="277">
        <v>30475</v>
      </c>
      <c r="J57" s="273">
        <f t="shared" si="3"/>
        <v>100</v>
      </c>
      <c r="L57" s="3"/>
      <c r="M57" s="3"/>
    </row>
    <row r="58" spans="1:13" customFormat="1" ht="18.75" customHeight="1" x14ac:dyDescent="0.25">
      <c r="A58" s="43">
        <v>5</v>
      </c>
      <c r="B58" s="604" t="s">
        <v>708</v>
      </c>
      <c r="C58" s="183" t="s">
        <v>46</v>
      </c>
      <c r="D58" s="183" t="s">
        <v>501</v>
      </c>
      <c r="E58" s="63">
        <v>48</v>
      </c>
      <c r="F58" s="63">
        <v>48</v>
      </c>
      <c r="G58" s="527">
        <f t="shared" si="4"/>
        <v>100</v>
      </c>
      <c r="H58" s="38">
        <v>28475</v>
      </c>
      <c r="I58" s="277">
        <v>28475</v>
      </c>
      <c r="J58" s="273">
        <f t="shared" si="3"/>
        <v>100</v>
      </c>
      <c r="L58" s="3"/>
      <c r="M58" s="3"/>
    </row>
    <row r="59" spans="1:13" customFormat="1" ht="18.75" customHeight="1" x14ac:dyDescent="0.25">
      <c r="A59" s="43">
        <v>6</v>
      </c>
      <c r="B59" s="604" t="s">
        <v>709</v>
      </c>
      <c r="C59" s="183" t="s">
        <v>46</v>
      </c>
      <c r="D59" s="183" t="s">
        <v>710</v>
      </c>
      <c r="E59" s="63">
        <v>20</v>
      </c>
      <c r="F59" s="63">
        <v>20</v>
      </c>
      <c r="G59" s="527">
        <f t="shared" si="4"/>
        <v>100</v>
      </c>
      <c r="H59" s="38">
        <v>30475</v>
      </c>
      <c r="I59" s="277">
        <v>30475</v>
      </c>
      <c r="J59" s="273">
        <f t="shared" si="3"/>
        <v>100</v>
      </c>
      <c r="L59" s="3"/>
      <c r="M59" s="3"/>
    </row>
    <row r="60" spans="1:13" customFormat="1" ht="18.75" customHeight="1" x14ac:dyDescent="0.25">
      <c r="A60" s="1009" t="s">
        <v>711</v>
      </c>
      <c r="B60" s="1010"/>
      <c r="C60" s="183"/>
      <c r="D60" s="183"/>
      <c r="E60" s="63"/>
      <c r="F60" s="63"/>
      <c r="G60" s="63"/>
      <c r="H60" s="67">
        <f>+H61+H64+H72+H78+H98+H117+L119</f>
        <v>19446936</v>
      </c>
      <c r="I60" s="67">
        <f>+I61+I64+I72+I78+I98+I117+M119</f>
        <v>19398323</v>
      </c>
      <c r="J60" s="81">
        <f t="shared" si="3"/>
        <v>99.750022317140335</v>
      </c>
      <c r="L60" s="3"/>
      <c r="M60" s="3"/>
    </row>
    <row r="61" spans="1:13" customFormat="1" ht="18.75" customHeight="1" x14ac:dyDescent="0.25">
      <c r="A61" s="84"/>
      <c r="B61" s="53" t="s">
        <v>712</v>
      </c>
      <c r="C61" s="163"/>
      <c r="D61" s="163"/>
      <c r="E61" s="25"/>
      <c r="F61" s="25"/>
      <c r="G61" s="25"/>
      <c r="H61" s="41">
        <f>SUM(H62:H63)</f>
        <v>17609105</v>
      </c>
      <c r="I61" s="770">
        <f>SUM(I62:I63)</f>
        <v>17576566</v>
      </c>
      <c r="J61" s="306">
        <f t="shared" ref="J61:J71" si="5">+I61/H61*100</f>
        <v>99.815214912966894</v>
      </c>
      <c r="L61" s="3"/>
      <c r="M61" s="3"/>
    </row>
    <row r="62" spans="1:13" customFormat="1" ht="18.75" customHeight="1" x14ac:dyDescent="0.25">
      <c r="A62" s="364">
        <v>1</v>
      </c>
      <c r="B62" s="570" t="s">
        <v>713</v>
      </c>
      <c r="C62" s="183" t="s">
        <v>46</v>
      </c>
      <c r="D62" s="607" t="s">
        <v>52</v>
      </c>
      <c r="E62" s="390">
        <v>12</v>
      </c>
      <c r="F62" s="390">
        <v>12</v>
      </c>
      <c r="G62" s="527">
        <f t="shared" ref="G62:G73" si="6">+F62/E62*100</f>
        <v>100</v>
      </c>
      <c r="H62" s="37">
        <v>8287019</v>
      </c>
      <c r="I62" s="273">
        <v>8254480</v>
      </c>
      <c r="J62" s="273">
        <f t="shared" si="5"/>
        <v>99.607349759907635</v>
      </c>
      <c r="L62" s="3"/>
      <c r="M62" s="3"/>
    </row>
    <row r="63" spans="1:13" customFormat="1" ht="18.75" customHeight="1" x14ac:dyDescent="0.25">
      <c r="A63" s="364">
        <v>2</v>
      </c>
      <c r="B63" s="570" t="s">
        <v>714</v>
      </c>
      <c r="C63" s="164" t="s">
        <v>40</v>
      </c>
      <c r="D63" s="607" t="s">
        <v>715</v>
      </c>
      <c r="E63" s="390">
        <v>13</v>
      </c>
      <c r="F63" s="390">
        <v>13</v>
      </c>
      <c r="G63" s="527">
        <f t="shared" si="6"/>
        <v>100</v>
      </c>
      <c r="H63" s="37">
        <v>9322086</v>
      </c>
      <c r="I63" s="273">
        <v>9322086</v>
      </c>
      <c r="J63" s="273">
        <f t="shared" si="5"/>
        <v>100</v>
      </c>
      <c r="L63" s="3"/>
      <c r="M63" s="3"/>
    </row>
    <row r="64" spans="1:13" customFormat="1" ht="18.75" customHeight="1" x14ac:dyDescent="0.25">
      <c r="A64" s="84"/>
      <c r="B64" s="53" t="s">
        <v>716</v>
      </c>
      <c r="C64" s="163"/>
      <c r="D64" s="163"/>
      <c r="E64" s="25"/>
      <c r="F64" s="25"/>
      <c r="G64" s="25"/>
      <c r="H64" s="41">
        <f>SUM(H65:H70)+H71</f>
        <v>970188</v>
      </c>
      <c r="I64" s="306">
        <f>SUM(I65:I70)+I71</f>
        <v>965694</v>
      </c>
      <c r="J64" s="306">
        <f t="shared" si="5"/>
        <v>99.536790807554823</v>
      </c>
      <c r="L64" s="3"/>
      <c r="M64" s="3"/>
    </row>
    <row r="65" spans="1:13" customFormat="1" ht="18.75" customHeight="1" x14ac:dyDescent="0.25">
      <c r="A65" s="43">
        <v>1</v>
      </c>
      <c r="B65" s="19" t="s">
        <v>717</v>
      </c>
      <c r="C65" s="164" t="s">
        <v>40</v>
      </c>
      <c r="D65" s="607" t="s">
        <v>431</v>
      </c>
      <c r="E65" s="38">
        <v>4</v>
      </c>
      <c r="F65" s="390">
        <v>3</v>
      </c>
      <c r="G65" s="527">
        <f t="shared" si="6"/>
        <v>75</v>
      </c>
      <c r="H65" s="38">
        <v>55119</v>
      </c>
      <c r="I65" s="277">
        <v>53628</v>
      </c>
      <c r="J65" s="273">
        <f t="shared" si="5"/>
        <v>97.294943667337947</v>
      </c>
      <c r="K65" s="85"/>
      <c r="L65" s="3"/>
      <c r="M65" s="3"/>
    </row>
    <row r="66" spans="1:13" customFormat="1" ht="25.5" customHeight="1" x14ac:dyDescent="0.25">
      <c r="A66" s="43">
        <v>2</v>
      </c>
      <c r="B66" s="40" t="s">
        <v>1954</v>
      </c>
      <c r="C66" s="164" t="s">
        <v>40</v>
      </c>
      <c r="D66" s="607" t="s">
        <v>718</v>
      </c>
      <c r="E66" s="38">
        <v>12</v>
      </c>
      <c r="F66" s="390">
        <v>12</v>
      </c>
      <c r="G66" s="527">
        <f t="shared" si="6"/>
        <v>100</v>
      </c>
      <c r="H66" s="38">
        <v>53751</v>
      </c>
      <c r="I66" s="277">
        <v>52751</v>
      </c>
      <c r="J66" s="273">
        <f t="shared" si="5"/>
        <v>98.139569496381469</v>
      </c>
      <c r="L66" s="3"/>
      <c r="M66" s="3"/>
    </row>
    <row r="67" spans="1:13" customFormat="1" ht="27.75" customHeight="1" x14ac:dyDescent="0.25">
      <c r="A67" s="43">
        <v>3</v>
      </c>
      <c r="B67" s="19" t="s">
        <v>870</v>
      </c>
      <c r="C67" s="164" t="s">
        <v>40</v>
      </c>
      <c r="D67" s="607" t="s">
        <v>431</v>
      </c>
      <c r="E67" s="38">
        <v>4</v>
      </c>
      <c r="F67" s="390">
        <v>3</v>
      </c>
      <c r="G67" s="527">
        <f t="shared" si="6"/>
        <v>75</v>
      </c>
      <c r="H67" s="38">
        <v>34562</v>
      </c>
      <c r="I67" s="277">
        <v>33562</v>
      </c>
      <c r="J67" s="273">
        <f t="shared" si="5"/>
        <v>97.106648920780046</v>
      </c>
      <c r="L67" s="3"/>
      <c r="M67" s="3"/>
    </row>
    <row r="68" spans="1:13" customFormat="1" ht="30" customHeight="1" x14ac:dyDescent="0.25">
      <c r="A68" s="43">
        <v>4</v>
      </c>
      <c r="B68" s="19" t="s">
        <v>719</v>
      </c>
      <c r="C68" s="164" t="s">
        <v>40</v>
      </c>
      <c r="D68" s="607" t="s">
        <v>718</v>
      </c>
      <c r="E68" s="38">
        <v>4</v>
      </c>
      <c r="F68" s="390">
        <v>4</v>
      </c>
      <c r="G68" s="527">
        <f t="shared" si="6"/>
        <v>100</v>
      </c>
      <c r="H68" s="38">
        <v>52751</v>
      </c>
      <c r="I68" s="277">
        <v>52751</v>
      </c>
      <c r="J68" s="273">
        <f t="shared" si="5"/>
        <v>100</v>
      </c>
      <c r="L68" s="3"/>
      <c r="M68" s="3"/>
    </row>
    <row r="69" spans="1:13" customFormat="1" ht="42" customHeight="1" x14ac:dyDescent="0.25">
      <c r="A69" s="43">
        <v>5</v>
      </c>
      <c r="B69" s="19" t="s">
        <v>720</v>
      </c>
      <c r="C69" s="164" t="s">
        <v>40</v>
      </c>
      <c r="D69" s="607" t="s">
        <v>220</v>
      </c>
      <c r="E69" s="38">
        <v>4</v>
      </c>
      <c r="F69" s="390">
        <v>4</v>
      </c>
      <c r="G69" s="527">
        <f t="shared" si="6"/>
        <v>100</v>
      </c>
      <c r="H69" s="38">
        <v>33376</v>
      </c>
      <c r="I69" s="277">
        <v>33376</v>
      </c>
      <c r="J69" s="273">
        <f t="shared" si="5"/>
        <v>100</v>
      </c>
      <c r="L69" s="3"/>
      <c r="M69" s="3"/>
    </row>
    <row r="70" spans="1:13" customFormat="1" ht="18.75" customHeight="1" x14ac:dyDescent="0.25">
      <c r="A70" s="43">
        <v>6</v>
      </c>
      <c r="B70" s="19" t="s">
        <v>721</v>
      </c>
      <c r="C70" s="164" t="s">
        <v>40</v>
      </c>
      <c r="D70" s="607" t="s">
        <v>220</v>
      </c>
      <c r="E70" s="38">
        <v>12</v>
      </c>
      <c r="F70" s="390">
        <v>12</v>
      </c>
      <c r="G70" s="527">
        <f t="shared" si="6"/>
        <v>100</v>
      </c>
      <c r="H70" s="38">
        <v>30376</v>
      </c>
      <c r="I70" s="277">
        <v>30376</v>
      </c>
      <c r="J70" s="273">
        <f t="shared" si="5"/>
        <v>100</v>
      </c>
      <c r="L70" s="3"/>
      <c r="M70" s="3"/>
    </row>
    <row r="71" spans="1:13" customFormat="1" ht="21" customHeight="1" x14ac:dyDescent="0.25">
      <c r="A71" s="43">
        <v>7</v>
      </c>
      <c r="B71" s="19" t="s">
        <v>722</v>
      </c>
      <c r="C71" s="164" t="s">
        <v>46</v>
      </c>
      <c r="D71" s="607" t="s">
        <v>723</v>
      </c>
      <c r="E71" s="38">
        <v>60</v>
      </c>
      <c r="F71" s="390">
        <v>60</v>
      </c>
      <c r="G71" s="527">
        <f t="shared" si="6"/>
        <v>100</v>
      </c>
      <c r="H71" s="38">
        <v>710253</v>
      </c>
      <c r="I71" s="277">
        <v>709250</v>
      </c>
      <c r="J71" s="273">
        <f t="shared" si="5"/>
        <v>99.858782715454922</v>
      </c>
      <c r="L71" s="3"/>
      <c r="M71" s="3"/>
    </row>
    <row r="72" spans="1:13" customFormat="1" ht="18.75" customHeight="1" x14ac:dyDescent="0.25">
      <c r="A72" s="682"/>
      <c r="B72" s="35" t="s">
        <v>724</v>
      </c>
      <c r="C72" s="161"/>
      <c r="D72" s="161"/>
      <c r="E72" s="488"/>
      <c r="F72" s="488"/>
      <c r="G72" s="488"/>
      <c r="H72" s="478">
        <f>SUM(H73:H77)</f>
        <v>142502</v>
      </c>
      <c r="I72" s="393">
        <f>SUM(I73:I77)</f>
        <v>133934</v>
      </c>
      <c r="J72" s="306">
        <v>100</v>
      </c>
      <c r="K72" s="88"/>
      <c r="L72" s="3"/>
      <c r="M72" s="3"/>
    </row>
    <row r="73" spans="1:13" customFormat="1" ht="68.25" customHeight="1" x14ac:dyDescent="0.25">
      <c r="A73" s="43">
        <v>1</v>
      </c>
      <c r="B73" s="19" t="s">
        <v>2301</v>
      </c>
      <c r="C73" s="164" t="s">
        <v>46</v>
      </c>
      <c r="D73" s="607" t="s">
        <v>459</v>
      </c>
      <c r="E73" s="38">
        <v>12</v>
      </c>
      <c r="F73" s="390">
        <v>12</v>
      </c>
      <c r="G73" s="527">
        <f t="shared" si="6"/>
        <v>100</v>
      </c>
      <c r="H73" s="38">
        <v>52788</v>
      </c>
      <c r="I73" s="277">
        <v>44221</v>
      </c>
      <c r="J73" s="277">
        <v>100</v>
      </c>
      <c r="K73" s="85"/>
      <c r="L73" s="3"/>
      <c r="M73" s="3"/>
    </row>
    <row r="74" spans="1:13" customFormat="1" ht="18.75" customHeight="1" x14ac:dyDescent="0.25">
      <c r="A74" s="43">
        <v>2</v>
      </c>
      <c r="B74" s="19" t="s">
        <v>725</v>
      </c>
      <c r="C74" s="164" t="s">
        <v>46</v>
      </c>
      <c r="D74" s="607" t="s">
        <v>459</v>
      </c>
      <c r="E74" s="38">
        <v>12</v>
      </c>
      <c r="F74" s="390">
        <v>12</v>
      </c>
      <c r="G74" s="349">
        <v>100</v>
      </c>
      <c r="H74" s="38">
        <v>3000</v>
      </c>
      <c r="I74" s="277">
        <v>3000</v>
      </c>
      <c r="J74" s="277">
        <v>100</v>
      </c>
      <c r="L74" s="3"/>
      <c r="M74" s="3"/>
    </row>
    <row r="75" spans="1:13" customFormat="1" ht="18.75" customHeight="1" x14ac:dyDescent="0.25">
      <c r="A75" s="43">
        <v>3</v>
      </c>
      <c r="B75" s="19" t="s">
        <v>726</v>
      </c>
      <c r="C75" s="164" t="s">
        <v>46</v>
      </c>
      <c r="D75" s="607" t="s">
        <v>459</v>
      </c>
      <c r="E75" s="38">
        <v>12</v>
      </c>
      <c r="F75" s="390">
        <v>12</v>
      </c>
      <c r="G75" s="349">
        <v>100</v>
      </c>
      <c r="H75" s="38">
        <v>65245</v>
      </c>
      <c r="I75" s="277">
        <v>65244</v>
      </c>
      <c r="J75" s="277">
        <v>100</v>
      </c>
      <c r="L75" s="3"/>
      <c r="M75" s="3"/>
    </row>
    <row r="76" spans="1:13" customFormat="1" ht="18.75" customHeight="1" x14ac:dyDescent="0.25">
      <c r="A76" s="43">
        <v>4</v>
      </c>
      <c r="B76" s="19" t="s">
        <v>727</v>
      </c>
      <c r="C76" s="164" t="s">
        <v>46</v>
      </c>
      <c r="D76" s="607" t="s">
        <v>459</v>
      </c>
      <c r="E76" s="38">
        <v>12</v>
      </c>
      <c r="F76" s="390">
        <v>12</v>
      </c>
      <c r="G76" s="349">
        <v>100</v>
      </c>
      <c r="H76" s="38">
        <v>3694</v>
      </c>
      <c r="I76" s="277">
        <v>3694</v>
      </c>
      <c r="J76" s="277">
        <v>100</v>
      </c>
      <c r="L76" s="3"/>
      <c r="M76" s="3"/>
    </row>
    <row r="77" spans="1:13" customFormat="1" ht="18.75" customHeight="1" x14ac:dyDescent="0.25">
      <c r="A77" s="43">
        <v>5</v>
      </c>
      <c r="B77" s="19" t="s">
        <v>728</v>
      </c>
      <c r="C77" s="164" t="s">
        <v>46</v>
      </c>
      <c r="D77" s="607" t="s">
        <v>459</v>
      </c>
      <c r="E77" s="38">
        <v>24</v>
      </c>
      <c r="F77" s="390">
        <v>24</v>
      </c>
      <c r="G77" s="349">
        <v>100</v>
      </c>
      <c r="H77" s="38">
        <v>17775</v>
      </c>
      <c r="I77" s="277">
        <f>17129+646</f>
        <v>17775</v>
      </c>
      <c r="J77" s="277">
        <v>100</v>
      </c>
      <c r="L77" s="3"/>
      <c r="M77" s="3"/>
    </row>
    <row r="78" spans="1:13" customFormat="1" ht="18.75" customHeight="1" x14ac:dyDescent="0.25">
      <c r="A78" s="682"/>
      <c r="B78" s="35" t="s">
        <v>729</v>
      </c>
      <c r="C78" s="168"/>
      <c r="D78" s="168"/>
      <c r="E78" s="486"/>
      <c r="F78" s="486"/>
      <c r="G78" s="486"/>
      <c r="H78" s="41">
        <f>SUM(H79:H97)</f>
        <v>562289</v>
      </c>
      <c r="I78" s="306">
        <f>SUM(I79:I97)</f>
        <v>559281</v>
      </c>
      <c r="J78" s="306">
        <v>100</v>
      </c>
      <c r="K78" s="88"/>
      <c r="L78" s="3"/>
      <c r="M78" s="3"/>
    </row>
    <row r="79" spans="1:13" customFormat="1" ht="18.75" customHeight="1" x14ac:dyDescent="0.25">
      <c r="A79" s="43">
        <v>1</v>
      </c>
      <c r="B79" s="604" t="s">
        <v>730</v>
      </c>
      <c r="C79" s="164" t="s">
        <v>46</v>
      </c>
      <c r="D79" s="183" t="s">
        <v>731</v>
      </c>
      <c r="E79" s="63">
        <v>180</v>
      </c>
      <c r="F79" s="63">
        <v>180</v>
      </c>
      <c r="G79" s="277">
        <v>100</v>
      </c>
      <c r="H79" s="38">
        <v>21238</v>
      </c>
      <c r="I79" s="38">
        <v>21238</v>
      </c>
      <c r="J79" s="277">
        <v>100</v>
      </c>
      <c r="L79" s="90"/>
      <c r="M79" s="3"/>
    </row>
    <row r="80" spans="1:13" customFormat="1" ht="18.75" customHeight="1" x14ac:dyDescent="0.25">
      <c r="A80" s="43">
        <v>2</v>
      </c>
      <c r="B80" s="604" t="s">
        <v>732</v>
      </c>
      <c r="C80" s="164" t="s">
        <v>46</v>
      </c>
      <c r="D80" s="183" t="s">
        <v>733</v>
      </c>
      <c r="E80" s="16">
        <v>180</v>
      </c>
      <c r="F80" s="16">
        <v>180</v>
      </c>
      <c r="G80" s="277">
        <v>100</v>
      </c>
      <c r="H80" s="38">
        <v>21238</v>
      </c>
      <c r="I80" s="38">
        <v>21238</v>
      </c>
      <c r="J80" s="277">
        <v>100</v>
      </c>
      <c r="L80" s="3"/>
      <c r="M80" s="3"/>
    </row>
    <row r="81" spans="1:13" customFormat="1" ht="18.75" customHeight="1" x14ac:dyDescent="0.25">
      <c r="A81" s="43">
        <v>3</v>
      </c>
      <c r="B81" s="604" t="s">
        <v>734</v>
      </c>
      <c r="C81" s="164" t="s">
        <v>46</v>
      </c>
      <c r="D81" s="183" t="s">
        <v>735</v>
      </c>
      <c r="E81" s="16">
        <v>13000</v>
      </c>
      <c r="F81" s="16">
        <v>13000</v>
      </c>
      <c r="G81" s="277">
        <v>100</v>
      </c>
      <c r="H81" s="38">
        <v>21238</v>
      </c>
      <c r="I81" s="38">
        <v>21238</v>
      </c>
      <c r="J81" s="277">
        <v>100</v>
      </c>
      <c r="L81" s="3"/>
      <c r="M81" s="3"/>
    </row>
    <row r="82" spans="1:13" customFormat="1" ht="18.75" customHeight="1" x14ac:dyDescent="0.25">
      <c r="A82" s="43">
        <v>4</v>
      </c>
      <c r="B82" s="604" t="s">
        <v>736</v>
      </c>
      <c r="C82" s="164" t="s">
        <v>46</v>
      </c>
      <c r="D82" s="183" t="s">
        <v>737</v>
      </c>
      <c r="E82" s="16">
        <v>5000</v>
      </c>
      <c r="F82" s="16">
        <v>5000</v>
      </c>
      <c r="G82" s="277">
        <v>100</v>
      </c>
      <c r="H82" s="38">
        <v>21238</v>
      </c>
      <c r="I82" s="38">
        <v>21238</v>
      </c>
      <c r="J82" s="277">
        <v>100</v>
      </c>
      <c r="L82" s="3"/>
      <c r="M82" s="3"/>
    </row>
    <row r="83" spans="1:13" customFormat="1" ht="18.75" customHeight="1" x14ac:dyDescent="0.25">
      <c r="A83" s="43">
        <v>5</v>
      </c>
      <c r="B83" s="604" t="s">
        <v>738</v>
      </c>
      <c r="C83" s="164" t="s">
        <v>46</v>
      </c>
      <c r="D83" s="183" t="s">
        <v>739</v>
      </c>
      <c r="E83" s="16">
        <v>400</v>
      </c>
      <c r="F83" s="16">
        <v>400</v>
      </c>
      <c r="G83" s="277">
        <v>100</v>
      </c>
      <c r="H83" s="38">
        <v>21238</v>
      </c>
      <c r="I83" s="38">
        <v>21238</v>
      </c>
      <c r="J83" s="277">
        <v>100</v>
      </c>
      <c r="L83" s="3"/>
      <c r="M83" s="3"/>
    </row>
    <row r="84" spans="1:13" customFormat="1" ht="18.75" customHeight="1" x14ac:dyDescent="0.25">
      <c r="A84" s="43">
        <v>6</v>
      </c>
      <c r="B84" s="604" t="s">
        <v>740</v>
      </c>
      <c r="C84" s="164" t="s">
        <v>46</v>
      </c>
      <c r="D84" s="183" t="s">
        <v>735</v>
      </c>
      <c r="E84" s="16">
        <v>1000</v>
      </c>
      <c r="F84" s="16">
        <v>1000</v>
      </c>
      <c r="G84" s="277">
        <v>100</v>
      </c>
      <c r="H84" s="38">
        <v>21238</v>
      </c>
      <c r="I84" s="38">
        <v>21238</v>
      </c>
      <c r="J84" s="277">
        <v>100</v>
      </c>
      <c r="L84" s="3"/>
      <c r="M84" s="3"/>
    </row>
    <row r="85" spans="1:13" customFormat="1" ht="18.75" customHeight="1" x14ac:dyDescent="0.25">
      <c r="A85" s="43">
        <v>7</v>
      </c>
      <c r="B85" s="604" t="s">
        <v>741</v>
      </c>
      <c r="C85" s="164" t="s">
        <v>46</v>
      </c>
      <c r="D85" s="183" t="s">
        <v>467</v>
      </c>
      <c r="E85" s="16">
        <v>24</v>
      </c>
      <c r="F85" s="16">
        <v>24</v>
      </c>
      <c r="G85" s="277">
        <v>100</v>
      </c>
      <c r="H85" s="38">
        <v>21238</v>
      </c>
      <c r="I85" s="38">
        <v>21238</v>
      </c>
      <c r="J85" s="277">
        <v>100</v>
      </c>
      <c r="L85" s="3"/>
      <c r="M85" s="3"/>
    </row>
    <row r="86" spans="1:13" customFormat="1" ht="18.75" customHeight="1" x14ac:dyDescent="0.25">
      <c r="A86" s="43">
        <v>8</v>
      </c>
      <c r="B86" s="604" t="s">
        <v>742</v>
      </c>
      <c r="C86" s="164" t="s">
        <v>46</v>
      </c>
      <c r="D86" s="183" t="s">
        <v>467</v>
      </c>
      <c r="E86" s="16">
        <v>12</v>
      </c>
      <c r="F86" s="16">
        <v>12</v>
      </c>
      <c r="G86" s="277">
        <v>100</v>
      </c>
      <c r="H86" s="38">
        <v>21238</v>
      </c>
      <c r="I86" s="38">
        <v>21238</v>
      </c>
      <c r="J86" s="277">
        <v>100</v>
      </c>
      <c r="L86" s="3"/>
      <c r="M86" s="3"/>
    </row>
    <row r="87" spans="1:13" customFormat="1" ht="18.75" customHeight="1" x14ac:dyDescent="0.25">
      <c r="A87" s="43">
        <v>9</v>
      </c>
      <c r="B87" s="604" t="s">
        <v>743</v>
      </c>
      <c r="C87" s="164" t="s">
        <v>46</v>
      </c>
      <c r="D87" s="183" t="s">
        <v>467</v>
      </c>
      <c r="E87" s="16">
        <v>100</v>
      </c>
      <c r="F87" s="16">
        <v>100</v>
      </c>
      <c r="G87" s="277">
        <v>100</v>
      </c>
      <c r="H87" s="38">
        <v>21238</v>
      </c>
      <c r="I87" s="38">
        <v>21238</v>
      </c>
      <c r="J87" s="277">
        <v>100</v>
      </c>
      <c r="L87" s="3"/>
      <c r="M87" s="3"/>
    </row>
    <row r="88" spans="1:13" customFormat="1" ht="18.75" customHeight="1" x14ac:dyDescent="0.25">
      <c r="A88" s="43">
        <v>10</v>
      </c>
      <c r="B88" s="604" t="s">
        <v>744</v>
      </c>
      <c r="C88" s="164" t="s">
        <v>46</v>
      </c>
      <c r="D88" s="183" t="s">
        <v>745</v>
      </c>
      <c r="E88" s="16">
        <v>400</v>
      </c>
      <c r="F88" s="16">
        <v>400</v>
      </c>
      <c r="G88" s="277">
        <v>100</v>
      </c>
      <c r="H88" s="38">
        <v>21238</v>
      </c>
      <c r="I88" s="38">
        <v>21238</v>
      </c>
      <c r="J88" s="277">
        <v>100</v>
      </c>
      <c r="L88" s="3"/>
      <c r="M88" s="3"/>
    </row>
    <row r="89" spans="1:13" customFormat="1" ht="18.75" customHeight="1" x14ac:dyDescent="0.25">
      <c r="A89" s="43">
        <v>11</v>
      </c>
      <c r="B89" s="604" t="s">
        <v>746</v>
      </c>
      <c r="C89" s="164" t="s">
        <v>46</v>
      </c>
      <c r="D89" s="183" t="s">
        <v>747</v>
      </c>
      <c r="E89" s="16">
        <v>12</v>
      </c>
      <c r="F89" s="16">
        <v>12</v>
      </c>
      <c r="G89" s="277">
        <v>100</v>
      </c>
      <c r="H89" s="38">
        <v>21238</v>
      </c>
      <c r="I89" s="38">
        <v>21238</v>
      </c>
      <c r="J89" s="277">
        <v>100</v>
      </c>
      <c r="L89" s="3"/>
      <c r="M89" s="3"/>
    </row>
    <row r="90" spans="1:13" customFormat="1" ht="18.75" customHeight="1" x14ac:dyDescent="0.25">
      <c r="A90" s="43">
        <v>12</v>
      </c>
      <c r="B90" s="604" t="s">
        <v>748</v>
      </c>
      <c r="C90" s="164" t="s">
        <v>46</v>
      </c>
      <c r="D90" s="183" t="s">
        <v>747</v>
      </c>
      <c r="E90" s="16">
        <v>12</v>
      </c>
      <c r="F90" s="16">
        <v>12</v>
      </c>
      <c r="G90" s="277">
        <v>100</v>
      </c>
      <c r="H90" s="38">
        <v>21238</v>
      </c>
      <c r="I90" s="38">
        <v>21238</v>
      </c>
      <c r="J90" s="277">
        <v>100</v>
      </c>
      <c r="L90" s="3"/>
      <c r="M90" s="3"/>
    </row>
    <row r="91" spans="1:13" customFormat="1" ht="18.75" customHeight="1" x14ac:dyDescent="0.25">
      <c r="A91" s="43">
        <v>13</v>
      </c>
      <c r="B91" s="604" t="s">
        <v>749</v>
      </c>
      <c r="C91" s="164" t="s">
        <v>46</v>
      </c>
      <c r="D91" s="183" t="s">
        <v>747</v>
      </c>
      <c r="E91" s="16">
        <v>144</v>
      </c>
      <c r="F91" s="16">
        <v>144</v>
      </c>
      <c r="G91" s="277">
        <v>100</v>
      </c>
      <c r="H91" s="38">
        <v>21238</v>
      </c>
      <c r="I91" s="38">
        <v>21238</v>
      </c>
      <c r="J91" s="277">
        <v>100</v>
      </c>
      <c r="L91" s="3"/>
      <c r="M91" s="3"/>
    </row>
    <row r="92" spans="1:13" customFormat="1" ht="18.75" customHeight="1" x14ac:dyDescent="0.25">
      <c r="A92" s="43">
        <v>14</v>
      </c>
      <c r="B92" s="604" t="s">
        <v>750</v>
      </c>
      <c r="C92" s="164" t="s">
        <v>46</v>
      </c>
      <c r="D92" s="183" t="s">
        <v>751</v>
      </c>
      <c r="E92" s="16">
        <v>15</v>
      </c>
      <c r="F92" s="16">
        <v>15</v>
      </c>
      <c r="G92" s="277">
        <v>100</v>
      </c>
      <c r="H92" s="38">
        <v>21238</v>
      </c>
      <c r="I92" s="38">
        <v>21238</v>
      </c>
      <c r="J92" s="277">
        <v>100</v>
      </c>
      <c r="L92" s="3"/>
      <c r="M92" s="3"/>
    </row>
    <row r="93" spans="1:13" customFormat="1" ht="18.75" customHeight="1" x14ac:dyDescent="0.25">
      <c r="A93" s="43">
        <v>15</v>
      </c>
      <c r="B93" s="604" t="s">
        <v>752</v>
      </c>
      <c r="C93" s="164" t="s">
        <v>46</v>
      </c>
      <c r="D93" s="183" t="s">
        <v>753</v>
      </c>
      <c r="E93" s="16">
        <v>2</v>
      </c>
      <c r="F93" s="16">
        <v>2</v>
      </c>
      <c r="G93" s="277">
        <v>100</v>
      </c>
      <c r="H93" s="38">
        <v>21238</v>
      </c>
      <c r="I93" s="38">
        <v>21238</v>
      </c>
      <c r="J93" s="277">
        <v>100</v>
      </c>
      <c r="L93" s="3"/>
      <c r="M93" s="3"/>
    </row>
    <row r="94" spans="1:13" customFormat="1" ht="18.75" customHeight="1" x14ac:dyDescent="0.25">
      <c r="A94" s="43">
        <v>16</v>
      </c>
      <c r="B94" s="604" t="s">
        <v>754</v>
      </c>
      <c r="C94" s="164" t="s">
        <v>46</v>
      </c>
      <c r="D94" s="183" t="s">
        <v>755</v>
      </c>
      <c r="E94" s="16">
        <v>1</v>
      </c>
      <c r="F94" s="16">
        <v>1</v>
      </c>
      <c r="G94" s="277">
        <v>100</v>
      </c>
      <c r="H94" s="38">
        <v>21238</v>
      </c>
      <c r="I94" s="38">
        <v>21238</v>
      </c>
      <c r="J94" s="277">
        <v>100</v>
      </c>
      <c r="L94" s="3"/>
      <c r="M94" s="3"/>
    </row>
    <row r="95" spans="1:13" customFormat="1" ht="18.75" customHeight="1" x14ac:dyDescent="0.25">
      <c r="A95" s="43">
        <v>17</v>
      </c>
      <c r="B95" s="604" t="s">
        <v>756</v>
      </c>
      <c r="C95" s="164" t="s">
        <v>46</v>
      </c>
      <c r="D95" s="183" t="s">
        <v>95</v>
      </c>
      <c r="E95" s="16">
        <v>2</v>
      </c>
      <c r="F95" s="16">
        <v>2</v>
      </c>
      <c r="G95" s="277">
        <v>100</v>
      </c>
      <c r="H95" s="38">
        <v>21238</v>
      </c>
      <c r="I95" s="38">
        <v>21238</v>
      </c>
      <c r="J95" s="277">
        <v>100</v>
      </c>
      <c r="L95" s="3"/>
      <c r="M95" s="3"/>
    </row>
    <row r="96" spans="1:13" customFormat="1" ht="18.75" customHeight="1" x14ac:dyDescent="0.25">
      <c r="A96" s="43">
        <v>18</v>
      </c>
      <c r="B96" s="604" t="s">
        <v>757</v>
      </c>
      <c r="C96" s="164" t="s">
        <v>46</v>
      </c>
      <c r="D96" s="183" t="s">
        <v>758</v>
      </c>
      <c r="E96" s="16">
        <v>1</v>
      </c>
      <c r="F96" s="16">
        <v>1</v>
      </c>
      <c r="G96" s="277">
        <v>100</v>
      </c>
      <c r="H96" s="38">
        <v>21238</v>
      </c>
      <c r="I96" s="38">
        <v>21238</v>
      </c>
      <c r="J96" s="277">
        <v>100</v>
      </c>
      <c r="L96" s="3"/>
      <c r="M96" s="3"/>
    </row>
    <row r="97" spans="1:13" customFormat="1" ht="18.75" customHeight="1" x14ac:dyDescent="0.25">
      <c r="A97" s="364">
        <v>19</v>
      </c>
      <c r="B97" s="570" t="s">
        <v>759</v>
      </c>
      <c r="C97" s="164" t="s">
        <v>46</v>
      </c>
      <c r="D97" s="183" t="s">
        <v>289</v>
      </c>
      <c r="E97" s="63">
        <v>1000</v>
      </c>
      <c r="F97" s="63">
        <v>1000</v>
      </c>
      <c r="G97" s="277">
        <v>100</v>
      </c>
      <c r="H97" s="38">
        <v>180005</v>
      </c>
      <c r="I97" s="38">
        <v>176997</v>
      </c>
      <c r="J97" s="277">
        <v>100</v>
      </c>
      <c r="L97" s="3"/>
      <c r="M97" s="3"/>
    </row>
    <row r="98" spans="1:13" customFormat="1" ht="18.75" customHeight="1" x14ac:dyDescent="0.25">
      <c r="A98" s="771"/>
      <c r="B98" s="35" t="s">
        <v>1951</v>
      </c>
      <c r="C98" s="503"/>
      <c r="D98" s="503"/>
      <c r="E98" s="64"/>
      <c r="F98" s="506"/>
      <c r="G98" s="506"/>
      <c r="H98" s="41">
        <f>SUM(H99:H116)+H117</f>
        <v>161554</v>
      </c>
      <c r="I98" s="306">
        <f>SUM(I99:I116)+I117</f>
        <v>161551</v>
      </c>
      <c r="J98" s="772">
        <f>+I98/H98*100</f>
        <v>99.998143035765125</v>
      </c>
      <c r="L98" s="90"/>
      <c r="M98" s="3"/>
    </row>
    <row r="99" spans="1:13" customFormat="1" ht="28.5" customHeight="1" x14ac:dyDescent="0.25">
      <c r="A99" s="43">
        <v>1</v>
      </c>
      <c r="B99" s="605" t="s">
        <v>760</v>
      </c>
      <c r="C99" s="183" t="s">
        <v>46</v>
      </c>
      <c r="D99" s="607" t="s">
        <v>761</v>
      </c>
      <c r="E99" s="37">
        <v>11200</v>
      </c>
      <c r="F99" s="37">
        <v>11200</v>
      </c>
      <c r="G99" s="349">
        <f>+F99/E99*100</f>
        <v>100</v>
      </c>
      <c r="H99" s="37">
        <f>27306</f>
        <v>27306</v>
      </c>
      <c r="I99" s="273">
        <f>27304</f>
        <v>27304</v>
      </c>
      <c r="J99" s="273">
        <f>+I99/H99*100</f>
        <v>99.992675602431703</v>
      </c>
      <c r="L99" s="90"/>
      <c r="M99" s="93"/>
    </row>
    <row r="100" spans="1:13" customFormat="1" ht="29.25" customHeight="1" x14ac:dyDescent="0.25">
      <c r="A100" s="43">
        <v>2</v>
      </c>
      <c r="B100" s="605" t="s">
        <v>762</v>
      </c>
      <c r="C100" s="183" t="s">
        <v>46</v>
      </c>
      <c r="D100" s="607" t="s">
        <v>761</v>
      </c>
      <c r="E100" s="37">
        <v>11200</v>
      </c>
      <c r="F100" s="37">
        <v>11200</v>
      </c>
      <c r="G100" s="349">
        <f t="shared" ref="G100:G116" si="7">+F100/E100*100</f>
        <v>100</v>
      </c>
      <c r="H100" s="37">
        <v>21572</v>
      </c>
      <c r="I100" s="273">
        <v>21572</v>
      </c>
      <c r="J100" s="273">
        <f t="shared" ref="J100:J119" si="8">+I100/H100*100</f>
        <v>100</v>
      </c>
      <c r="K100" s="85"/>
      <c r="L100" s="3"/>
      <c r="M100" s="3"/>
    </row>
    <row r="101" spans="1:13" customFormat="1" ht="18.75" customHeight="1" x14ac:dyDescent="0.25">
      <c r="A101" s="43">
        <v>3</v>
      </c>
      <c r="B101" s="605" t="s">
        <v>763</v>
      </c>
      <c r="C101" s="183" t="s">
        <v>46</v>
      </c>
      <c r="D101" s="607" t="s">
        <v>764</v>
      </c>
      <c r="E101" s="37">
        <v>15</v>
      </c>
      <c r="F101" s="37">
        <v>15</v>
      </c>
      <c r="G101" s="349">
        <f t="shared" si="7"/>
        <v>100</v>
      </c>
      <c r="H101" s="37">
        <v>2495</v>
      </c>
      <c r="I101" s="273">
        <v>2495</v>
      </c>
      <c r="J101" s="273">
        <f t="shared" si="8"/>
        <v>100</v>
      </c>
      <c r="L101" s="3"/>
      <c r="M101" s="3"/>
    </row>
    <row r="102" spans="1:13" customFormat="1" ht="27" customHeight="1" x14ac:dyDescent="0.25">
      <c r="A102" s="43">
        <v>4</v>
      </c>
      <c r="B102" s="605" t="s">
        <v>765</v>
      </c>
      <c r="C102" s="183" t="s">
        <v>46</v>
      </c>
      <c r="D102" s="607" t="s">
        <v>766</v>
      </c>
      <c r="E102" s="37">
        <v>1800</v>
      </c>
      <c r="F102" s="37">
        <v>1800</v>
      </c>
      <c r="G102" s="349">
        <f t="shared" si="7"/>
        <v>100</v>
      </c>
      <c r="H102" s="37">
        <v>6702</v>
      </c>
      <c r="I102" s="273">
        <v>6702</v>
      </c>
      <c r="J102" s="273">
        <f t="shared" si="8"/>
        <v>100</v>
      </c>
      <c r="L102" s="3"/>
      <c r="M102" s="3"/>
    </row>
    <row r="103" spans="1:13" customFormat="1" ht="26.25" customHeight="1" x14ac:dyDescent="0.25">
      <c r="A103" s="43">
        <v>5</v>
      </c>
      <c r="B103" s="605" t="s">
        <v>767</v>
      </c>
      <c r="C103" s="183" t="s">
        <v>46</v>
      </c>
      <c r="D103" s="607" t="s">
        <v>768</v>
      </c>
      <c r="E103" s="37">
        <v>11200</v>
      </c>
      <c r="F103" s="37">
        <v>11200</v>
      </c>
      <c r="G103" s="349">
        <f t="shared" si="7"/>
        <v>100</v>
      </c>
      <c r="H103" s="37">
        <v>24680</v>
      </c>
      <c r="I103" s="273">
        <v>24680</v>
      </c>
      <c r="J103" s="273">
        <f t="shared" si="8"/>
        <v>100</v>
      </c>
      <c r="L103" s="3"/>
      <c r="M103" s="3"/>
    </row>
    <row r="104" spans="1:13" customFormat="1" ht="29.25" customHeight="1" x14ac:dyDescent="0.25">
      <c r="A104" s="43">
        <v>6</v>
      </c>
      <c r="B104" s="605" t="s">
        <v>769</v>
      </c>
      <c r="C104" s="183" t="s">
        <v>46</v>
      </c>
      <c r="D104" s="607" t="s">
        <v>768</v>
      </c>
      <c r="E104" s="37">
        <v>1200</v>
      </c>
      <c r="F104" s="37">
        <v>1200</v>
      </c>
      <c r="G104" s="349">
        <f t="shared" si="7"/>
        <v>100</v>
      </c>
      <c r="H104" s="37">
        <v>11517</v>
      </c>
      <c r="I104" s="273">
        <v>11517</v>
      </c>
      <c r="J104" s="273">
        <f t="shared" si="8"/>
        <v>100</v>
      </c>
      <c r="L104" s="3"/>
      <c r="M104" s="3"/>
    </row>
    <row r="105" spans="1:13" customFormat="1" ht="25.5" customHeight="1" x14ac:dyDescent="0.25">
      <c r="A105" s="43">
        <v>7</v>
      </c>
      <c r="B105" s="605" t="s">
        <v>770</v>
      </c>
      <c r="C105" s="183" t="s">
        <v>46</v>
      </c>
      <c r="D105" s="607" t="s">
        <v>771</v>
      </c>
      <c r="E105" s="37">
        <v>4</v>
      </c>
      <c r="F105" s="37">
        <v>4</v>
      </c>
      <c r="G105" s="349">
        <f t="shared" si="7"/>
        <v>100</v>
      </c>
      <c r="H105" s="37">
        <v>2389</v>
      </c>
      <c r="I105" s="273">
        <v>2389</v>
      </c>
      <c r="J105" s="273">
        <f t="shared" si="8"/>
        <v>100</v>
      </c>
      <c r="L105" s="3"/>
      <c r="M105" s="3"/>
    </row>
    <row r="106" spans="1:13" customFormat="1" ht="25.5" customHeight="1" x14ac:dyDescent="0.25">
      <c r="A106" s="43">
        <v>8</v>
      </c>
      <c r="B106" s="605" t="s">
        <v>772</v>
      </c>
      <c r="C106" s="183" t="s">
        <v>46</v>
      </c>
      <c r="D106" s="607" t="s">
        <v>773</v>
      </c>
      <c r="E106" s="37">
        <v>96</v>
      </c>
      <c r="F106" s="37">
        <v>96</v>
      </c>
      <c r="G106" s="349">
        <f t="shared" si="7"/>
        <v>100</v>
      </c>
      <c r="H106" s="37">
        <v>26863</v>
      </c>
      <c r="I106" s="273">
        <v>26863</v>
      </c>
      <c r="J106" s="273">
        <f t="shared" si="8"/>
        <v>100</v>
      </c>
      <c r="L106" s="3"/>
      <c r="M106" s="3"/>
    </row>
    <row r="107" spans="1:13" customFormat="1" ht="25.5" customHeight="1" x14ac:dyDescent="0.25">
      <c r="A107" s="43">
        <v>9</v>
      </c>
      <c r="B107" s="605" t="s">
        <v>774</v>
      </c>
      <c r="C107" s="183" t="s">
        <v>46</v>
      </c>
      <c r="D107" s="607" t="s">
        <v>775</v>
      </c>
      <c r="E107" s="37">
        <v>4</v>
      </c>
      <c r="F107" s="37">
        <v>4</v>
      </c>
      <c r="G107" s="349">
        <f t="shared" si="7"/>
        <v>100</v>
      </c>
      <c r="H107" s="37">
        <v>1651</v>
      </c>
      <c r="I107" s="273">
        <v>1651</v>
      </c>
      <c r="J107" s="273">
        <f t="shared" si="8"/>
        <v>100</v>
      </c>
      <c r="L107" s="3"/>
      <c r="M107" s="3"/>
    </row>
    <row r="108" spans="1:13" customFormat="1" ht="25.5" customHeight="1" x14ac:dyDescent="0.25">
      <c r="A108" s="43">
        <v>10</v>
      </c>
      <c r="B108" s="605" t="s">
        <v>776</v>
      </c>
      <c r="C108" s="183" t="s">
        <v>46</v>
      </c>
      <c r="D108" s="607" t="s">
        <v>411</v>
      </c>
      <c r="E108" s="37">
        <v>16</v>
      </c>
      <c r="F108" s="37">
        <v>16</v>
      </c>
      <c r="G108" s="349">
        <f t="shared" si="7"/>
        <v>100</v>
      </c>
      <c r="H108" s="37">
        <v>4110</v>
      </c>
      <c r="I108" s="273">
        <v>4110</v>
      </c>
      <c r="J108" s="273">
        <f t="shared" si="8"/>
        <v>100</v>
      </c>
      <c r="L108" s="3"/>
      <c r="M108" s="3"/>
    </row>
    <row r="109" spans="1:13" customFormat="1" ht="18.75" customHeight="1" x14ac:dyDescent="0.25">
      <c r="A109" s="43">
        <v>11</v>
      </c>
      <c r="B109" s="605" t="s">
        <v>777</v>
      </c>
      <c r="C109" s="183" t="s">
        <v>46</v>
      </c>
      <c r="D109" s="607" t="s">
        <v>778</v>
      </c>
      <c r="E109" s="37">
        <v>5</v>
      </c>
      <c r="F109" s="37">
        <v>5</v>
      </c>
      <c r="G109" s="349">
        <f t="shared" si="7"/>
        <v>100</v>
      </c>
      <c r="H109" s="37">
        <v>1037</v>
      </c>
      <c r="I109" s="273">
        <v>1037</v>
      </c>
      <c r="J109" s="273">
        <f t="shared" si="8"/>
        <v>100</v>
      </c>
      <c r="L109" s="3"/>
      <c r="M109" s="3"/>
    </row>
    <row r="110" spans="1:13" customFormat="1" ht="18.75" customHeight="1" x14ac:dyDescent="0.25">
      <c r="A110" s="43">
        <v>12</v>
      </c>
      <c r="B110" s="605" t="s">
        <v>779</v>
      </c>
      <c r="C110" s="183" t="s">
        <v>46</v>
      </c>
      <c r="D110" s="607" t="s">
        <v>780</v>
      </c>
      <c r="E110" s="37">
        <v>4000</v>
      </c>
      <c r="F110" s="37">
        <v>4000</v>
      </c>
      <c r="G110" s="349">
        <f t="shared" si="7"/>
        <v>100</v>
      </c>
      <c r="H110" s="37">
        <v>15601</v>
      </c>
      <c r="I110" s="273">
        <v>15601</v>
      </c>
      <c r="J110" s="273">
        <f t="shared" si="8"/>
        <v>100</v>
      </c>
      <c r="L110" s="3"/>
      <c r="M110" s="3"/>
    </row>
    <row r="111" spans="1:13" customFormat="1" ht="25.5" customHeight="1" x14ac:dyDescent="0.25">
      <c r="A111" s="43">
        <v>13</v>
      </c>
      <c r="B111" s="605" t="s">
        <v>781</v>
      </c>
      <c r="C111" s="183" t="s">
        <v>46</v>
      </c>
      <c r="D111" s="607" t="s">
        <v>780</v>
      </c>
      <c r="E111" s="37">
        <v>400</v>
      </c>
      <c r="F111" s="37">
        <v>400</v>
      </c>
      <c r="G111" s="349">
        <f t="shared" si="7"/>
        <v>100</v>
      </c>
      <c r="H111" s="37">
        <v>2040</v>
      </c>
      <c r="I111" s="273">
        <v>2040</v>
      </c>
      <c r="J111" s="273">
        <f t="shared" si="8"/>
        <v>100</v>
      </c>
      <c r="L111" s="3"/>
      <c r="M111" s="3"/>
    </row>
    <row r="112" spans="1:13" customFormat="1" ht="18.75" customHeight="1" x14ac:dyDescent="0.25">
      <c r="A112" s="43">
        <v>14</v>
      </c>
      <c r="B112" s="605" t="s">
        <v>782</v>
      </c>
      <c r="C112" s="183" t="s">
        <v>46</v>
      </c>
      <c r="D112" s="607" t="s">
        <v>783</v>
      </c>
      <c r="E112" s="37">
        <v>380</v>
      </c>
      <c r="F112" s="37">
        <v>380</v>
      </c>
      <c r="G112" s="349">
        <f t="shared" si="7"/>
        <v>100</v>
      </c>
      <c r="H112" s="37">
        <v>3338</v>
      </c>
      <c r="I112" s="273">
        <v>3338</v>
      </c>
      <c r="J112" s="273">
        <f t="shared" si="8"/>
        <v>100</v>
      </c>
      <c r="L112" s="3"/>
      <c r="M112" s="3"/>
    </row>
    <row r="113" spans="1:13" customFormat="1" ht="18.75" customHeight="1" x14ac:dyDescent="0.25">
      <c r="A113" s="43">
        <v>15</v>
      </c>
      <c r="B113" s="605" t="s">
        <v>784</v>
      </c>
      <c r="C113" s="183" t="s">
        <v>46</v>
      </c>
      <c r="D113" s="607" t="s">
        <v>785</v>
      </c>
      <c r="E113" s="37">
        <f>24*12</f>
        <v>288</v>
      </c>
      <c r="F113" s="37">
        <f>24*12</f>
        <v>288</v>
      </c>
      <c r="G113" s="349">
        <f t="shared" si="7"/>
        <v>100</v>
      </c>
      <c r="H113" s="37">
        <v>2817</v>
      </c>
      <c r="I113" s="273">
        <v>2817</v>
      </c>
      <c r="J113" s="273">
        <f t="shared" si="8"/>
        <v>100</v>
      </c>
      <c r="L113" s="3"/>
      <c r="M113" s="3"/>
    </row>
    <row r="114" spans="1:13" customFormat="1" ht="25.5" customHeight="1" x14ac:dyDescent="0.25">
      <c r="A114" s="43">
        <v>16</v>
      </c>
      <c r="B114" s="605" t="s">
        <v>786</v>
      </c>
      <c r="C114" s="183" t="s">
        <v>46</v>
      </c>
      <c r="D114" s="607" t="s">
        <v>785</v>
      </c>
      <c r="E114" s="37">
        <v>84</v>
      </c>
      <c r="F114" s="37">
        <v>84</v>
      </c>
      <c r="G114" s="349">
        <f t="shared" si="7"/>
        <v>100</v>
      </c>
      <c r="H114" s="37">
        <v>1991</v>
      </c>
      <c r="I114" s="273">
        <v>1991</v>
      </c>
      <c r="J114" s="273">
        <f t="shared" si="8"/>
        <v>100</v>
      </c>
      <c r="L114" s="3"/>
      <c r="M114" s="3"/>
    </row>
    <row r="115" spans="1:13" customFormat="1" ht="25.5" customHeight="1" x14ac:dyDescent="0.25">
      <c r="A115" s="43">
        <v>17</v>
      </c>
      <c r="B115" s="605" t="s">
        <v>787</v>
      </c>
      <c r="C115" s="183" t="s">
        <v>46</v>
      </c>
      <c r="D115" s="607" t="s">
        <v>785</v>
      </c>
      <c r="E115" s="37">
        <v>24</v>
      </c>
      <c r="F115" s="37">
        <v>24</v>
      </c>
      <c r="G115" s="349">
        <f t="shared" si="7"/>
        <v>100</v>
      </c>
      <c r="H115" s="37">
        <v>1897</v>
      </c>
      <c r="I115" s="273">
        <v>1897</v>
      </c>
      <c r="J115" s="273">
        <f t="shared" si="8"/>
        <v>100</v>
      </c>
      <c r="L115" s="3"/>
      <c r="M115" s="3"/>
    </row>
    <row r="116" spans="1:13" customFormat="1" ht="29.25" customHeight="1" x14ac:dyDescent="0.25">
      <c r="A116" s="43">
        <v>18</v>
      </c>
      <c r="B116" s="605" t="s">
        <v>788</v>
      </c>
      <c r="C116" s="183" t="s">
        <v>46</v>
      </c>
      <c r="D116" s="607" t="s">
        <v>785</v>
      </c>
      <c r="E116" s="37">
        <v>5</v>
      </c>
      <c r="F116" s="37">
        <v>5</v>
      </c>
      <c r="G116" s="349">
        <f t="shared" si="7"/>
        <v>100</v>
      </c>
      <c r="H116" s="37">
        <v>2250</v>
      </c>
      <c r="I116" s="273">
        <v>2250</v>
      </c>
      <c r="J116" s="273">
        <f t="shared" si="8"/>
        <v>100</v>
      </c>
      <c r="L116" s="3"/>
      <c r="M116" s="3"/>
    </row>
    <row r="117" spans="1:13" customFormat="1" ht="18.75" customHeight="1" x14ac:dyDescent="0.25">
      <c r="A117" s="40"/>
      <c r="B117" s="53" t="s">
        <v>789</v>
      </c>
      <c r="C117" s="503"/>
      <c r="D117" s="503"/>
      <c r="E117" s="64"/>
      <c r="F117" s="506"/>
      <c r="G117" s="506"/>
      <c r="H117" s="41">
        <f>+H118</f>
        <v>1298</v>
      </c>
      <c r="I117" s="306">
        <f>+I118</f>
        <v>1297</v>
      </c>
      <c r="J117" s="306">
        <f t="shared" si="8"/>
        <v>99.922958397534671</v>
      </c>
      <c r="L117" s="3"/>
      <c r="M117" s="3"/>
    </row>
    <row r="118" spans="1:13" customFormat="1" ht="18.75" customHeight="1" x14ac:dyDescent="0.25">
      <c r="A118" s="43">
        <v>1</v>
      </c>
      <c r="B118" s="19" t="s">
        <v>790</v>
      </c>
      <c r="C118" s="183" t="s">
        <v>46</v>
      </c>
      <c r="D118" s="607" t="s">
        <v>52</v>
      </c>
      <c r="E118" s="38">
        <v>70000</v>
      </c>
      <c r="F118" s="390"/>
      <c r="G118" s="390"/>
      <c r="H118" s="38">
        <v>1298</v>
      </c>
      <c r="I118" s="277">
        <v>1297</v>
      </c>
      <c r="J118" s="273">
        <f t="shared" si="8"/>
        <v>99.922958397534671</v>
      </c>
      <c r="L118" s="3"/>
      <c r="M118" s="3"/>
    </row>
    <row r="119" spans="1:13" customFormat="1" ht="18.75" customHeight="1" x14ac:dyDescent="0.25">
      <c r="A119" s="773"/>
      <c r="B119" s="35" t="s">
        <v>791</v>
      </c>
      <c r="C119" s="168"/>
      <c r="D119" s="168"/>
      <c r="E119" s="306"/>
      <c r="F119" s="306"/>
      <c r="G119" s="774"/>
      <c r="H119" s="478">
        <f>+H120+H126+H131+H137</f>
        <v>1454514</v>
      </c>
      <c r="I119" s="393">
        <f>+I120+I126+I131+I137</f>
        <v>1394078</v>
      </c>
      <c r="J119" s="306">
        <f t="shared" si="8"/>
        <v>95.844935146722548</v>
      </c>
      <c r="L119" s="3"/>
      <c r="M119" s="3"/>
    </row>
    <row r="120" spans="1:13" customFormat="1" ht="18.75" customHeight="1" x14ac:dyDescent="0.25">
      <c r="A120" s="364"/>
      <c r="B120" s="364" t="s">
        <v>792</v>
      </c>
      <c r="C120" s="163"/>
      <c r="D120" s="163"/>
      <c r="E120" s="313"/>
      <c r="F120" s="313"/>
      <c r="G120" s="775"/>
      <c r="H120" s="39">
        <f>SUM(H121:H125)</f>
        <v>395944</v>
      </c>
      <c r="I120" s="313">
        <f>SUM(I121:I125)</f>
        <v>385944</v>
      </c>
      <c r="J120" s="313">
        <f>I120/H120*100</f>
        <v>97.474390317822724</v>
      </c>
      <c r="K120" s="85"/>
      <c r="L120" s="3"/>
      <c r="M120" s="3"/>
    </row>
    <row r="121" spans="1:13" customFormat="1" ht="18.75" customHeight="1" x14ac:dyDescent="0.25">
      <c r="A121" s="43">
        <v>1</v>
      </c>
      <c r="B121" s="19" t="s">
        <v>793</v>
      </c>
      <c r="C121" s="164" t="s">
        <v>46</v>
      </c>
      <c r="D121" s="607" t="s">
        <v>794</v>
      </c>
      <c r="E121" s="38">
        <v>9</v>
      </c>
      <c r="F121" s="273">
        <v>9</v>
      </c>
      <c r="G121" s="290"/>
      <c r="H121" s="38">
        <v>79944</v>
      </c>
      <c r="I121" s="38">
        <v>77944</v>
      </c>
      <c r="J121" s="273">
        <f t="shared" ref="J121:J136" si="9">I121/H121*100</f>
        <v>97.498248774141899</v>
      </c>
      <c r="L121" s="88"/>
    </row>
    <row r="122" spans="1:13" customFormat="1" ht="18.75" customHeight="1" x14ac:dyDescent="0.25">
      <c r="A122" s="43">
        <v>2</v>
      </c>
      <c r="B122" s="19" t="s">
        <v>795</v>
      </c>
      <c r="C122" s="164" t="s">
        <v>46</v>
      </c>
      <c r="D122" s="607" t="s">
        <v>794</v>
      </c>
      <c r="E122" s="38">
        <v>23</v>
      </c>
      <c r="F122" s="273">
        <v>28</v>
      </c>
      <c r="G122" s="290">
        <f t="shared" ref="G122:G135" si="10">F122/E122*100</f>
        <v>121.73913043478262</v>
      </c>
      <c r="H122" s="38">
        <v>79000</v>
      </c>
      <c r="I122" s="38">
        <v>77000</v>
      </c>
      <c r="J122" s="273">
        <f t="shared" si="9"/>
        <v>97.468354430379748</v>
      </c>
    </row>
    <row r="123" spans="1:13" customFormat="1" ht="18.75" customHeight="1" x14ac:dyDescent="0.25">
      <c r="A123" s="43">
        <v>3</v>
      </c>
      <c r="B123" s="19" t="s">
        <v>796</v>
      </c>
      <c r="C123" s="164" t="s">
        <v>46</v>
      </c>
      <c r="D123" s="607" t="s">
        <v>794</v>
      </c>
      <c r="E123" s="38">
        <v>44</v>
      </c>
      <c r="F123" s="273">
        <v>57</v>
      </c>
      <c r="G123" s="290">
        <f t="shared" si="10"/>
        <v>129.54545454545453</v>
      </c>
      <c r="H123" s="38">
        <v>79000</v>
      </c>
      <c r="I123" s="38">
        <v>77000</v>
      </c>
      <c r="J123" s="273">
        <f t="shared" si="9"/>
        <v>97.468354430379748</v>
      </c>
    </row>
    <row r="124" spans="1:13" customFormat="1" ht="18.75" customHeight="1" x14ac:dyDescent="0.25">
      <c r="A124" s="43">
        <v>4</v>
      </c>
      <c r="B124" s="19" t="s">
        <v>797</v>
      </c>
      <c r="C124" s="164" t="s">
        <v>46</v>
      </c>
      <c r="D124" s="607" t="s">
        <v>794</v>
      </c>
      <c r="E124" s="38">
        <v>65</v>
      </c>
      <c r="F124" s="273">
        <v>52</v>
      </c>
      <c r="G124" s="290">
        <f t="shared" si="10"/>
        <v>80</v>
      </c>
      <c r="H124" s="38">
        <v>79000</v>
      </c>
      <c r="I124" s="38">
        <v>77000</v>
      </c>
      <c r="J124" s="273">
        <f t="shared" si="9"/>
        <v>97.468354430379748</v>
      </c>
    </row>
    <row r="125" spans="1:13" customFormat="1" ht="18.75" customHeight="1" x14ac:dyDescent="0.25">
      <c r="A125" s="43">
        <v>5</v>
      </c>
      <c r="B125" s="19" t="s">
        <v>798</v>
      </c>
      <c r="C125" s="164" t="s">
        <v>46</v>
      </c>
      <c r="D125" s="607" t="s">
        <v>794</v>
      </c>
      <c r="E125" s="38">
        <v>100</v>
      </c>
      <c r="F125" s="273">
        <v>141</v>
      </c>
      <c r="G125" s="290">
        <f t="shared" si="10"/>
        <v>141</v>
      </c>
      <c r="H125" s="38">
        <v>79000</v>
      </c>
      <c r="I125" s="38">
        <v>77000</v>
      </c>
      <c r="J125" s="273">
        <f t="shared" si="9"/>
        <v>97.468354430379748</v>
      </c>
    </row>
    <row r="126" spans="1:13" customFormat="1" ht="18.75" customHeight="1" x14ac:dyDescent="0.25">
      <c r="A126" s="40"/>
      <c r="B126" s="364" t="s">
        <v>799</v>
      </c>
      <c r="C126" s="607"/>
      <c r="D126" s="607"/>
      <c r="E126" s="273"/>
      <c r="F126" s="273"/>
      <c r="G126" s="290"/>
      <c r="H126" s="39">
        <f>SUM(H127:H130)</f>
        <v>277000</v>
      </c>
      <c r="I126" s="313">
        <f>SUM(I127:I130)</f>
        <v>247664</v>
      </c>
      <c r="J126" s="313">
        <f t="shared" si="9"/>
        <v>89.409386281588439</v>
      </c>
    </row>
    <row r="127" spans="1:13" customFormat="1" ht="18.75" customHeight="1" x14ac:dyDescent="0.25">
      <c r="A127" s="439">
        <v>1</v>
      </c>
      <c r="B127" s="453" t="s">
        <v>800</v>
      </c>
      <c r="C127" s="441" t="s">
        <v>46</v>
      </c>
      <c r="D127" s="441" t="s">
        <v>417</v>
      </c>
      <c r="E127" s="776">
        <v>12</v>
      </c>
      <c r="F127" s="777">
        <v>12</v>
      </c>
      <c r="G127" s="290">
        <f t="shared" si="10"/>
        <v>100</v>
      </c>
      <c r="H127" s="38">
        <v>69250</v>
      </c>
      <c r="I127" s="38">
        <v>62250</v>
      </c>
      <c r="J127" s="273">
        <f t="shared" si="9"/>
        <v>89.891696750902526</v>
      </c>
    </row>
    <row r="128" spans="1:13" customFormat="1" ht="18.75" customHeight="1" x14ac:dyDescent="0.25">
      <c r="A128" s="439">
        <v>2</v>
      </c>
      <c r="B128" s="453" t="s">
        <v>801</v>
      </c>
      <c r="C128" s="441" t="s">
        <v>46</v>
      </c>
      <c r="D128" s="441" t="s">
        <v>417</v>
      </c>
      <c r="E128" s="776">
        <v>1753</v>
      </c>
      <c r="F128" s="777">
        <v>1835</v>
      </c>
      <c r="G128" s="290">
        <f t="shared" si="10"/>
        <v>104.67769537934967</v>
      </c>
      <c r="H128" s="38">
        <f>H127+64250</f>
        <v>133500</v>
      </c>
      <c r="I128" s="38">
        <f>I127+56250</f>
        <v>118500</v>
      </c>
      <c r="J128" s="273">
        <f t="shared" si="9"/>
        <v>88.764044943820224</v>
      </c>
    </row>
    <row r="129" spans="1:10" customFormat="1" ht="18.75" customHeight="1" x14ac:dyDescent="0.25">
      <c r="A129" s="439">
        <v>3</v>
      </c>
      <c r="B129" s="453" t="s">
        <v>802</v>
      </c>
      <c r="C129" s="441" t="s">
        <v>46</v>
      </c>
      <c r="D129" s="441" t="s">
        <v>417</v>
      </c>
      <c r="E129" s="776">
        <v>6</v>
      </c>
      <c r="F129" s="777">
        <v>3</v>
      </c>
      <c r="G129" s="290">
        <f t="shared" si="10"/>
        <v>50</v>
      </c>
      <c r="H129" s="38">
        <v>5000</v>
      </c>
      <c r="I129" s="38">
        <v>5000</v>
      </c>
      <c r="J129" s="273">
        <f t="shared" si="9"/>
        <v>100</v>
      </c>
    </row>
    <row r="130" spans="1:10" customFormat="1" ht="18.75" customHeight="1" x14ac:dyDescent="0.25">
      <c r="A130" s="439">
        <v>4</v>
      </c>
      <c r="B130" s="453" t="s">
        <v>803</v>
      </c>
      <c r="C130" s="441" t="s">
        <v>46</v>
      </c>
      <c r="D130" s="441" t="s">
        <v>52</v>
      </c>
      <c r="E130" s="776">
        <v>90</v>
      </c>
      <c r="F130" s="777">
        <v>90</v>
      </c>
      <c r="G130" s="290">
        <f t="shared" si="10"/>
        <v>100</v>
      </c>
      <c r="H130" s="38">
        <v>69250</v>
      </c>
      <c r="I130" s="38">
        <v>61914</v>
      </c>
      <c r="J130" s="273">
        <f t="shared" si="9"/>
        <v>89.406498194945854</v>
      </c>
    </row>
    <row r="131" spans="1:10" customFormat="1" ht="18.75" customHeight="1" x14ac:dyDescent="0.25">
      <c r="A131" s="364"/>
      <c r="B131" s="364" t="s">
        <v>804</v>
      </c>
      <c r="C131" s="163"/>
      <c r="D131" s="163"/>
      <c r="E131" s="313"/>
      <c r="F131" s="313"/>
      <c r="G131" s="303"/>
      <c r="H131" s="39">
        <f>SUM(H132:H136)</f>
        <v>401130</v>
      </c>
      <c r="I131" s="313">
        <f>SUM(I132:I136)</f>
        <v>400030</v>
      </c>
      <c r="J131" s="313">
        <f t="shared" si="9"/>
        <v>99.725774686510604</v>
      </c>
    </row>
    <row r="132" spans="1:10" customFormat="1" ht="18.75" customHeight="1" x14ac:dyDescent="0.25">
      <c r="A132" s="43">
        <v>1</v>
      </c>
      <c r="B132" s="604" t="s">
        <v>805</v>
      </c>
      <c r="C132" s="183" t="s">
        <v>40</v>
      </c>
      <c r="D132" s="164" t="s">
        <v>806</v>
      </c>
      <c r="E132" s="16">
        <v>4650</v>
      </c>
      <c r="F132" s="277">
        <v>2436</v>
      </c>
      <c r="G132" s="290">
        <f t="shared" si="10"/>
        <v>52.387096774193552</v>
      </c>
      <c r="H132" s="37">
        <v>80006</v>
      </c>
      <c r="I132" s="273">
        <v>80006</v>
      </c>
      <c r="J132" s="273">
        <f t="shared" si="9"/>
        <v>100</v>
      </c>
    </row>
    <row r="133" spans="1:10" customFormat="1" ht="18.75" customHeight="1" x14ac:dyDescent="0.25">
      <c r="A133" s="43">
        <v>2</v>
      </c>
      <c r="B133" s="604" t="s">
        <v>807</v>
      </c>
      <c r="C133" s="183" t="s">
        <v>40</v>
      </c>
      <c r="D133" s="183" t="s">
        <v>808</v>
      </c>
      <c r="E133" s="16">
        <v>3917</v>
      </c>
      <c r="F133" s="42">
        <v>2380</v>
      </c>
      <c r="G133" s="290">
        <f t="shared" si="10"/>
        <v>60.760786316058216</v>
      </c>
      <c r="H133" s="37">
        <v>80006</v>
      </c>
      <c r="I133" s="273">
        <v>80006</v>
      </c>
      <c r="J133" s="273">
        <f t="shared" si="9"/>
        <v>100</v>
      </c>
    </row>
    <row r="134" spans="1:10" customFormat="1" ht="18.75" customHeight="1" x14ac:dyDescent="0.25">
      <c r="A134" s="43">
        <v>3</v>
      </c>
      <c r="B134" s="604" t="s">
        <v>809</v>
      </c>
      <c r="C134" s="183" t="s">
        <v>40</v>
      </c>
      <c r="D134" s="164" t="s">
        <v>810</v>
      </c>
      <c r="E134" s="16">
        <v>3917</v>
      </c>
      <c r="F134" s="277">
        <v>2809</v>
      </c>
      <c r="G134" s="290">
        <f t="shared" si="10"/>
        <v>71.713045698238446</v>
      </c>
      <c r="H134" s="37">
        <v>81006</v>
      </c>
      <c r="I134" s="273">
        <v>80006</v>
      </c>
      <c r="J134" s="273">
        <f t="shared" si="9"/>
        <v>98.765523541466067</v>
      </c>
    </row>
    <row r="135" spans="1:10" customFormat="1" ht="25.5" customHeight="1" x14ac:dyDescent="0.25">
      <c r="A135" s="43">
        <v>4</v>
      </c>
      <c r="B135" s="604" t="s">
        <v>811</v>
      </c>
      <c r="C135" s="183" t="s">
        <v>40</v>
      </c>
      <c r="D135" s="164" t="s">
        <v>761</v>
      </c>
      <c r="E135" s="16">
        <v>3917</v>
      </c>
      <c r="F135" s="277">
        <v>2809</v>
      </c>
      <c r="G135" s="290">
        <f t="shared" si="10"/>
        <v>71.713045698238446</v>
      </c>
      <c r="H135" s="37">
        <v>80006</v>
      </c>
      <c r="I135" s="273">
        <v>80006</v>
      </c>
      <c r="J135" s="273">
        <f t="shared" si="9"/>
        <v>100</v>
      </c>
    </row>
    <row r="136" spans="1:10" customFormat="1" ht="25.5" customHeight="1" x14ac:dyDescent="0.25">
      <c r="A136" s="43">
        <v>5</v>
      </c>
      <c r="B136" s="604" t="s">
        <v>812</v>
      </c>
      <c r="C136" s="183" t="s">
        <v>40</v>
      </c>
      <c r="D136" s="164" t="s">
        <v>761</v>
      </c>
      <c r="E136" s="16">
        <v>3917</v>
      </c>
      <c r="F136" s="277">
        <v>2808</v>
      </c>
      <c r="G136" s="778">
        <f t="shared" ref="G136:G141" si="11">F136/E136*100</f>
        <v>71.687515956088845</v>
      </c>
      <c r="H136" s="37">
        <v>80106</v>
      </c>
      <c r="I136" s="273">
        <v>80006</v>
      </c>
      <c r="J136" s="273">
        <f t="shared" si="9"/>
        <v>99.875165405837265</v>
      </c>
    </row>
    <row r="137" spans="1:10" customFormat="1" ht="25.5" customHeight="1" x14ac:dyDescent="0.25">
      <c r="A137" s="364"/>
      <c r="B137" s="364" t="s">
        <v>813</v>
      </c>
      <c r="C137" s="163"/>
      <c r="D137" s="163"/>
      <c r="E137" s="39"/>
      <c r="F137" s="313"/>
      <c r="G137" s="410"/>
      <c r="H137" s="39">
        <f>SUM(H138:H142)</f>
        <v>380440</v>
      </c>
      <c r="I137" s="313">
        <f>SUM(I138:I142)</f>
        <v>360440</v>
      </c>
      <c r="J137" s="313">
        <f t="shared" ref="J137:J142" si="12">I137/H137*100</f>
        <v>94.742929239827561</v>
      </c>
    </row>
    <row r="138" spans="1:10" customFormat="1" ht="18.75" customHeight="1" x14ac:dyDescent="0.25">
      <c r="A138" s="43">
        <v>1</v>
      </c>
      <c r="B138" s="604" t="s">
        <v>814</v>
      </c>
      <c r="C138" s="183" t="s">
        <v>40</v>
      </c>
      <c r="D138" s="164" t="s">
        <v>806</v>
      </c>
      <c r="E138" s="16">
        <v>1913</v>
      </c>
      <c r="F138" s="277">
        <v>2326</v>
      </c>
      <c r="G138" s="778">
        <f t="shared" si="11"/>
        <v>121.58912702561422</v>
      </c>
      <c r="H138" s="37">
        <v>76088</v>
      </c>
      <c r="I138" s="273">
        <v>72088</v>
      </c>
      <c r="J138" s="273">
        <f t="shared" si="12"/>
        <v>94.742929239827561</v>
      </c>
    </row>
    <row r="139" spans="1:10" customFormat="1" ht="18.75" customHeight="1" x14ac:dyDescent="0.25">
      <c r="A139" s="43">
        <v>2</v>
      </c>
      <c r="B139" s="604" t="s">
        <v>815</v>
      </c>
      <c r="C139" s="183" t="s">
        <v>40</v>
      </c>
      <c r="D139" s="183" t="s">
        <v>816</v>
      </c>
      <c r="E139" s="16">
        <v>1386</v>
      </c>
      <c r="F139" s="42">
        <v>1444</v>
      </c>
      <c r="G139" s="778">
        <f t="shared" si="11"/>
        <v>104.18470418470417</v>
      </c>
      <c r="H139" s="37">
        <v>76088</v>
      </c>
      <c r="I139" s="273">
        <v>72088</v>
      </c>
      <c r="J139" s="273">
        <f t="shared" si="12"/>
        <v>94.742929239827561</v>
      </c>
    </row>
    <row r="140" spans="1:10" customFormat="1" ht="18.75" customHeight="1" x14ac:dyDescent="0.25">
      <c r="A140" s="43">
        <v>3</v>
      </c>
      <c r="B140" s="604" t="s">
        <v>817</v>
      </c>
      <c r="C140" s="183" t="s">
        <v>40</v>
      </c>
      <c r="D140" s="183" t="s">
        <v>818</v>
      </c>
      <c r="E140" s="16">
        <v>1386</v>
      </c>
      <c r="F140" s="42">
        <v>1378</v>
      </c>
      <c r="G140" s="778">
        <f t="shared" si="11"/>
        <v>99.422799422799429</v>
      </c>
      <c r="H140" s="37">
        <v>76088</v>
      </c>
      <c r="I140" s="273">
        <v>72088</v>
      </c>
      <c r="J140" s="273">
        <f t="shared" si="12"/>
        <v>94.742929239827561</v>
      </c>
    </row>
    <row r="141" spans="1:10" customFormat="1" ht="25.5" customHeight="1" x14ac:dyDescent="0.25">
      <c r="A141" s="43">
        <v>4</v>
      </c>
      <c r="B141" s="604" t="s">
        <v>819</v>
      </c>
      <c r="C141" s="183" t="s">
        <v>40</v>
      </c>
      <c r="D141" s="164" t="s">
        <v>761</v>
      </c>
      <c r="E141" s="16">
        <v>1386</v>
      </c>
      <c r="F141" s="277">
        <v>1378</v>
      </c>
      <c r="G141" s="778">
        <f t="shared" si="11"/>
        <v>99.422799422799429</v>
      </c>
      <c r="H141" s="37">
        <v>76088</v>
      </c>
      <c r="I141" s="273">
        <v>72088</v>
      </c>
      <c r="J141" s="273">
        <f t="shared" si="12"/>
        <v>94.742929239827561</v>
      </c>
    </row>
    <row r="142" spans="1:10" customFormat="1" ht="27.75" customHeight="1" x14ac:dyDescent="0.25">
      <c r="A142" s="43">
        <v>5</v>
      </c>
      <c r="B142" s="604" t="s">
        <v>820</v>
      </c>
      <c r="C142" s="183" t="s">
        <v>40</v>
      </c>
      <c r="D142" s="164" t="s">
        <v>761</v>
      </c>
      <c r="E142" s="16">
        <v>1386</v>
      </c>
      <c r="F142" s="277">
        <v>1377</v>
      </c>
      <c r="G142" s="778">
        <f>F142/E142*100</f>
        <v>99.350649350649363</v>
      </c>
      <c r="H142" s="37">
        <v>76088</v>
      </c>
      <c r="I142" s="273">
        <v>72088</v>
      </c>
      <c r="J142" s="273">
        <f t="shared" si="12"/>
        <v>94.742929239827561</v>
      </c>
    </row>
    <row r="143" spans="1:10" customFormat="1" ht="29.25" customHeight="1" x14ac:dyDescent="0.25">
      <c r="A143" s="1009" t="s">
        <v>821</v>
      </c>
      <c r="B143" s="1010"/>
      <c r="C143" s="540"/>
      <c r="D143" s="161"/>
      <c r="E143" s="83"/>
      <c r="F143" s="83"/>
      <c r="G143" s="83"/>
      <c r="H143" s="779">
        <f>+H144+H156+H171</f>
        <v>1010028</v>
      </c>
      <c r="I143" s="779">
        <f>+I144+I156+I171</f>
        <v>953510</v>
      </c>
      <c r="J143" s="320">
        <f>+I143/H143*100</f>
        <v>94.404313543782948</v>
      </c>
    </row>
    <row r="144" spans="1:10" customFormat="1" ht="18.75" customHeight="1" x14ac:dyDescent="0.25">
      <c r="A144" s="682"/>
      <c r="B144" s="53" t="s">
        <v>822</v>
      </c>
      <c r="C144" s="292"/>
      <c r="D144" s="540"/>
      <c r="E144" s="780"/>
      <c r="F144" s="780"/>
      <c r="G144" s="781"/>
      <c r="H144" s="782">
        <f>SUM(H145:H155)</f>
        <v>24164</v>
      </c>
      <c r="I144" s="478">
        <f>SUM(I145:I155)</f>
        <v>24162</v>
      </c>
      <c r="J144" s="393">
        <f>+I144/H144*100</f>
        <v>99.991723224631684</v>
      </c>
    </row>
    <row r="145" spans="1:25" customFormat="1" ht="25.5" customHeight="1" x14ac:dyDescent="0.25">
      <c r="A145" s="364">
        <v>1</v>
      </c>
      <c r="B145" s="570" t="s">
        <v>823</v>
      </c>
      <c r="C145" s="292" t="s">
        <v>40</v>
      </c>
      <c r="D145" s="292" t="s">
        <v>467</v>
      </c>
      <c r="E145" s="390">
        <v>6</v>
      </c>
      <c r="F145" s="390">
        <v>6</v>
      </c>
      <c r="G145" s="311">
        <f>+F145/E145*100</f>
        <v>100</v>
      </c>
      <c r="H145" s="37">
        <v>2195</v>
      </c>
      <c r="I145" s="37">
        <v>2195</v>
      </c>
      <c r="J145" s="273">
        <f>+I145/H145*100</f>
        <v>100</v>
      </c>
      <c r="K145" s="3"/>
      <c r="L145" s="3"/>
      <c r="M145" s="3"/>
      <c r="N145" s="3"/>
      <c r="O145" s="3"/>
      <c r="P145" s="3"/>
      <c r="Q145" s="3"/>
      <c r="R145" s="3"/>
      <c r="S145" s="3"/>
      <c r="T145" s="3"/>
      <c r="U145" s="3"/>
      <c r="V145" s="3"/>
      <c r="W145" s="3"/>
      <c r="X145" s="3"/>
      <c r="Y145" s="3"/>
    </row>
    <row r="146" spans="1:25" customFormat="1" ht="18.75" customHeight="1" x14ac:dyDescent="0.25">
      <c r="A146" s="364">
        <v>2</v>
      </c>
      <c r="B146" s="364" t="s">
        <v>824</v>
      </c>
      <c r="C146" s="292" t="s">
        <v>40</v>
      </c>
      <c r="D146" s="292" t="s">
        <v>467</v>
      </c>
      <c r="E146" s="390">
        <v>2</v>
      </c>
      <c r="F146" s="390">
        <v>2</v>
      </c>
      <c r="G146" s="311">
        <f t="shared" ref="G146:G155" si="13">+F146/E146*100</f>
        <v>100</v>
      </c>
      <c r="H146" s="37">
        <v>2197</v>
      </c>
      <c r="I146" s="37">
        <v>2197</v>
      </c>
      <c r="J146" s="273">
        <f t="shared" ref="J146:J155" si="14">+I146/H146*100</f>
        <v>100</v>
      </c>
      <c r="K146" s="3"/>
      <c r="L146" s="3"/>
      <c r="M146" s="3"/>
      <c r="N146" s="3"/>
      <c r="O146" s="3"/>
      <c r="P146" s="3"/>
      <c r="Q146" s="3"/>
      <c r="R146" s="3"/>
      <c r="S146" s="3"/>
      <c r="T146" s="3"/>
      <c r="U146" s="3"/>
      <c r="V146" s="3"/>
      <c r="W146" s="3"/>
      <c r="X146" s="3"/>
      <c r="Y146" s="3"/>
    </row>
    <row r="147" spans="1:25" customFormat="1" ht="25.5" hidden="1" customHeight="1" x14ac:dyDescent="0.25">
      <c r="A147" s="364">
        <v>3</v>
      </c>
      <c r="B147" s="570" t="s">
        <v>825</v>
      </c>
      <c r="C147" s="292" t="s">
        <v>40</v>
      </c>
      <c r="D147" s="292" t="s">
        <v>467</v>
      </c>
      <c r="E147" s="390">
        <v>6</v>
      </c>
      <c r="F147" s="390">
        <v>6</v>
      </c>
      <c r="G147" s="311">
        <f t="shared" si="13"/>
        <v>100</v>
      </c>
      <c r="H147" s="37">
        <v>2197</v>
      </c>
      <c r="I147" s="37">
        <v>2197</v>
      </c>
      <c r="J147" s="273">
        <f t="shared" si="14"/>
        <v>100</v>
      </c>
      <c r="K147" s="3"/>
      <c r="L147" s="3"/>
      <c r="M147" s="3"/>
      <c r="N147" s="3"/>
      <c r="O147" s="3"/>
      <c r="P147" s="3"/>
      <c r="Q147" s="3"/>
      <c r="R147" s="3"/>
      <c r="S147" s="3"/>
      <c r="T147" s="3"/>
      <c r="U147" s="3"/>
      <c r="V147" s="3"/>
      <c r="W147" s="3"/>
      <c r="X147" s="3"/>
      <c r="Y147" s="3"/>
    </row>
    <row r="148" spans="1:25" customFormat="1" ht="18.75" customHeight="1" x14ac:dyDescent="0.25">
      <c r="A148" s="364">
        <v>4</v>
      </c>
      <c r="B148" s="19" t="s">
        <v>826</v>
      </c>
      <c r="C148" s="292" t="s">
        <v>40</v>
      </c>
      <c r="D148" s="292" t="s">
        <v>467</v>
      </c>
      <c r="E148" s="783">
        <v>1</v>
      </c>
      <c r="F148" s="783">
        <v>1</v>
      </c>
      <c r="G148" s="311">
        <f t="shared" si="13"/>
        <v>100</v>
      </c>
      <c r="H148" s="37">
        <v>2196</v>
      </c>
      <c r="I148" s="37">
        <v>2196</v>
      </c>
      <c r="J148" s="273">
        <f t="shared" si="14"/>
        <v>100</v>
      </c>
      <c r="K148" s="3"/>
      <c r="L148" s="3"/>
      <c r="M148" s="3"/>
      <c r="N148" s="3"/>
      <c r="O148" s="3"/>
      <c r="P148" s="3"/>
      <c r="Q148" s="3"/>
      <c r="R148" s="3"/>
      <c r="S148" s="3"/>
      <c r="T148" s="3"/>
      <c r="U148" s="3"/>
      <c r="V148" s="3"/>
      <c r="W148" s="3"/>
      <c r="X148" s="3"/>
      <c r="Y148" s="3"/>
    </row>
    <row r="149" spans="1:25" customFormat="1" ht="18.75" customHeight="1" x14ac:dyDescent="0.25">
      <c r="A149" s="364">
        <v>5</v>
      </c>
      <c r="B149" s="19" t="s">
        <v>827</v>
      </c>
      <c r="C149" s="292" t="s">
        <v>40</v>
      </c>
      <c r="D149" s="292" t="s">
        <v>467</v>
      </c>
      <c r="E149" s="783">
        <v>5</v>
      </c>
      <c r="F149" s="783">
        <v>5</v>
      </c>
      <c r="G149" s="311">
        <f t="shared" si="13"/>
        <v>100</v>
      </c>
      <c r="H149" s="37">
        <v>2197</v>
      </c>
      <c r="I149" s="37">
        <v>2195</v>
      </c>
      <c r="J149" s="273">
        <f t="shared" si="14"/>
        <v>99.908966772872105</v>
      </c>
      <c r="K149" s="3"/>
      <c r="L149" s="3"/>
      <c r="M149" s="3"/>
      <c r="N149" s="3"/>
      <c r="O149" s="3"/>
      <c r="P149" s="3"/>
      <c r="Q149" s="3"/>
      <c r="R149" s="3"/>
      <c r="S149" s="3"/>
      <c r="T149" s="3"/>
      <c r="U149" s="3"/>
      <c r="V149" s="3"/>
      <c r="W149" s="3"/>
      <c r="X149" s="3"/>
      <c r="Y149" s="3"/>
    </row>
    <row r="150" spans="1:25" customFormat="1" ht="18.75" customHeight="1" x14ac:dyDescent="0.25">
      <c r="A150" s="364">
        <v>6</v>
      </c>
      <c r="B150" s="19" t="s">
        <v>828</v>
      </c>
      <c r="C150" s="292" t="s">
        <v>40</v>
      </c>
      <c r="D150" s="292" t="s">
        <v>220</v>
      </c>
      <c r="E150" s="783">
        <v>3</v>
      </c>
      <c r="F150" s="783">
        <v>3</v>
      </c>
      <c r="G150" s="311">
        <f t="shared" si="13"/>
        <v>100</v>
      </c>
      <c r="H150" s="37">
        <v>2197</v>
      </c>
      <c r="I150" s="37">
        <v>2197</v>
      </c>
      <c r="J150" s="273">
        <f t="shared" si="14"/>
        <v>100</v>
      </c>
      <c r="K150" s="3"/>
      <c r="L150" s="3"/>
      <c r="M150" s="3"/>
      <c r="N150" s="3"/>
      <c r="O150" s="3"/>
      <c r="P150" s="3"/>
      <c r="Q150" s="3"/>
      <c r="R150" s="3"/>
      <c r="S150" s="3"/>
      <c r="T150" s="3"/>
      <c r="U150" s="3"/>
      <c r="V150" s="3"/>
      <c r="W150" s="3"/>
      <c r="X150" s="3"/>
      <c r="Y150" s="3"/>
    </row>
    <row r="151" spans="1:25" customFormat="1" ht="18.75" customHeight="1" x14ac:dyDescent="0.25">
      <c r="A151" s="364">
        <v>7</v>
      </c>
      <c r="B151" s="19" t="s">
        <v>829</v>
      </c>
      <c r="C151" s="292" t="s">
        <v>40</v>
      </c>
      <c r="D151" s="292" t="s">
        <v>220</v>
      </c>
      <c r="E151" s="783">
        <v>5</v>
      </c>
      <c r="F151" s="783">
        <v>5</v>
      </c>
      <c r="G151" s="311">
        <f t="shared" si="13"/>
        <v>100</v>
      </c>
      <c r="H151" s="37">
        <v>2197</v>
      </c>
      <c r="I151" s="37">
        <v>2197</v>
      </c>
      <c r="J151" s="273">
        <f t="shared" si="14"/>
        <v>100</v>
      </c>
      <c r="K151" s="3"/>
      <c r="L151" s="3"/>
      <c r="M151" s="3"/>
      <c r="N151" s="3"/>
      <c r="O151" s="3"/>
      <c r="P151" s="3"/>
      <c r="Q151" s="3"/>
      <c r="R151" s="3"/>
      <c r="S151" s="3"/>
      <c r="T151" s="3"/>
      <c r="U151" s="3"/>
      <c r="V151" s="3"/>
      <c r="W151" s="3"/>
      <c r="X151" s="3"/>
      <c r="Y151" s="3"/>
    </row>
    <row r="152" spans="1:25" customFormat="1" ht="18.75" customHeight="1" x14ac:dyDescent="0.25">
      <c r="A152" s="364">
        <v>8</v>
      </c>
      <c r="B152" s="19" t="s">
        <v>830</v>
      </c>
      <c r="C152" s="292" t="s">
        <v>40</v>
      </c>
      <c r="D152" s="292" t="s">
        <v>467</v>
      </c>
      <c r="E152" s="783">
        <v>10</v>
      </c>
      <c r="F152" s="783">
        <v>10</v>
      </c>
      <c r="G152" s="311">
        <f t="shared" si="13"/>
        <v>100</v>
      </c>
      <c r="H152" s="37">
        <v>2197</v>
      </c>
      <c r="I152" s="37">
        <v>2197</v>
      </c>
      <c r="J152" s="273">
        <f t="shared" si="14"/>
        <v>100</v>
      </c>
      <c r="K152" s="3"/>
      <c r="L152" s="3"/>
      <c r="M152" s="3"/>
      <c r="N152" s="3"/>
      <c r="O152" s="3"/>
      <c r="P152" s="3"/>
      <c r="Q152" s="3"/>
      <c r="R152" s="3"/>
      <c r="S152" s="3"/>
      <c r="T152" s="3"/>
      <c r="U152" s="3"/>
      <c r="V152" s="3"/>
      <c r="W152" s="3"/>
      <c r="X152" s="3"/>
      <c r="Y152" s="3"/>
    </row>
    <row r="153" spans="1:25" customFormat="1" ht="18.75" customHeight="1" x14ac:dyDescent="0.25">
      <c r="A153" s="364">
        <v>9</v>
      </c>
      <c r="B153" s="19" t="s">
        <v>831</v>
      </c>
      <c r="C153" s="292" t="s">
        <v>40</v>
      </c>
      <c r="D153" s="292" t="s">
        <v>90</v>
      </c>
      <c r="E153" s="783">
        <v>2</v>
      </c>
      <c r="F153" s="783">
        <v>2</v>
      </c>
      <c r="G153" s="311">
        <f t="shared" si="13"/>
        <v>100</v>
      </c>
      <c r="H153" s="37">
        <v>2197</v>
      </c>
      <c r="I153" s="37">
        <v>2197</v>
      </c>
      <c r="J153" s="273">
        <f t="shared" si="14"/>
        <v>100</v>
      </c>
      <c r="K153" s="3"/>
      <c r="L153" s="3"/>
      <c r="M153" s="3"/>
      <c r="N153" s="3"/>
      <c r="O153" s="3"/>
      <c r="P153" s="3"/>
      <c r="Q153" s="3"/>
      <c r="R153" s="3"/>
      <c r="S153" s="3"/>
      <c r="T153" s="3"/>
      <c r="U153" s="3"/>
      <c r="V153" s="3"/>
      <c r="W153" s="3"/>
      <c r="X153" s="3"/>
      <c r="Y153" s="3"/>
    </row>
    <row r="154" spans="1:25" customFormat="1" ht="18.75" customHeight="1" x14ac:dyDescent="0.25">
      <c r="A154" s="364">
        <v>10</v>
      </c>
      <c r="B154" s="19" t="s">
        <v>832</v>
      </c>
      <c r="C154" s="292" t="s">
        <v>40</v>
      </c>
      <c r="D154" s="292" t="s">
        <v>794</v>
      </c>
      <c r="E154" s="783">
        <v>10</v>
      </c>
      <c r="F154" s="783">
        <v>10</v>
      </c>
      <c r="G154" s="311">
        <f t="shared" si="13"/>
        <v>100</v>
      </c>
      <c r="H154" s="37">
        <v>2197</v>
      </c>
      <c r="I154" s="37">
        <v>2197</v>
      </c>
      <c r="J154" s="273">
        <f t="shared" si="14"/>
        <v>100</v>
      </c>
      <c r="K154" s="3"/>
      <c r="L154" s="3"/>
      <c r="M154" s="3"/>
      <c r="N154" s="3"/>
      <c r="O154" s="3"/>
      <c r="P154" s="3"/>
      <c r="Q154" s="3"/>
      <c r="R154" s="3"/>
      <c r="S154" s="3"/>
      <c r="T154" s="3"/>
      <c r="U154" s="3"/>
      <c r="V154" s="3"/>
      <c r="W154" s="3"/>
      <c r="X154" s="3"/>
      <c r="Y154" s="3"/>
    </row>
    <row r="155" spans="1:25" customFormat="1" ht="18.75" customHeight="1" x14ac:dyDescent="0.25">
      <c r="A155" s="43">
        <v>11</v>
      </c>
      <c r="B155" s="19" t="s">
        <v>833</v>
      </c>
      <c r="C155" s="292" t="s">
        <v>40</v>
      </c>
      <c r="D155" s="154" t="s">
        <v>834</v>
      </c>
      <c r="E155" s="38">
        <v>1</v>
      </c>
      <c r="F155" s="38">
        <v>1</v>
      </c>
      <c r="G155" s="311">
        <f t="shared" si="13"/>
        <v>100</v>
      </c>
      <c r="H155" s="37">
        <v>2197</v>
      </c>
      <c r="I155" s="37">
        <v>2197</v>
      </c>
      <c r="J155" s="273">
        <f t="shared" si="14"/>
        <v>100</v>
      </c>
      <c r="K155" s="3"/>
      <c r="L155" s="3"/>
      <c r="M155" s="3"/>
      <c r="N155" s="3"/>
      <c r="O155" s="3"/>
      <c r="P155" s="3"/>
      <c r="Q155" s="3"/>
      <c r="R155" s="3"/>
      <c r="S155" s="3"/>
      <c r="T155" s="3"/>
      <c r="U155" s="3"/>
      <c r="V155" s="3"/>
      <c r="W155" s="3"/>
      <c r="X155" s="3"/>
      <c r="Y155" s="3"/>
    </row>
    <row r="156" spans="1:25" customFormat="1" ht="18.75" customHeight="1" x14ac:dyDescent="0.25">
      <c r="A156" s="784"/>
      <c r="B156" s="35" t="s">
        <v>835</v>
      </c>
      <c r="C156" s="292"/>
      <c r="D156" s="540"/>
      <c r="E156" s="780"/>
      <c r="F156" s="780"/>
      <c r="G156" s="705"/>
      <c r="H156" s="478">
        <f>SUM(H157:H170)</f>
        <v>666416</v>
      </c>
      <c r="I156" s="393">
        <f>SUM(I157:I170)</f>
        <v>649433</v>
      </c>
      <c r="J156" s="306">
        <f>+I156/H156*100</f>
        <v>97.451591798516247</v>
      </c>
      <c r="K156" s="3"/>
      <c r="L156" s="3"/>
      <c r="M156" s="3"/>
      <c r="N156" s="3"/>
      <c r="O156" s="3"/>
      <c r="P156" s="3"/>
      <c r="Q156" s="3"/>
      <c r="R156" s="3"/>
      <c r="S156" s="3"/>
      <c r="T156" s="3"/>
      <c r="U156" s="3"/>
      <c r="V156" s="3"/>
      <c r="W156" s="3"/>
      <c r="X156" s="3"/>
      <c r="Y156" s="3"/>
    </row>
    <row r="157" spans="1:25" customFormat="1" ht="18.75" customHeight="1" x14ac:dyDescent="0.25">
      <c r="A157" s="43">
        <v>1</v>
      </c>
      <c r="B157" s="19" t="s">
        <v>836</v>
      </c>
      <c r="C157" s="292" t="s">
        <v>40</v>
      </c>
      <c r="D157" s="607" t="s">
        <v>220</v>
      </c>
      <c r="E157" s="38">
        <v>200</v>
      </c>
      <c r="F157" s="38">
        <v>200</v>
      </c>
      <c r="G157" s="273">
        <f>+F157/E157*100</f>
        <v>100</v>
      </c>
      <c r="H157" s="38">
        <v>293416</v>
      </c>
      <c r="I157" s="277">
        <v>276433</v>
      </c>
      <c r="J157" s="273">
        <f>+I157/H157*100</f>
        <v>94.211972080595459</v>
      </c>
      <c r="K157" s="3"/>
      <c r="L157" s="3"/>
      <c r="M157" s="3"/>
      <c r="N157" s="3"/>
      <c r="O157" s="3"/>
      <c r="P157" s="3"/>
      <c r="Q157" s="3"/>
      <c r="R157" s="3"/>
      <c r="S157" s="3"/>
      <c r="T157" s="3"/>
      <c r="U157" s="3"/>
      <c r="V157" s="3"/>
      <c r="W157" s="3"/>
      <c r="X157" s="3"/>
      <c r="Y157" s="3"/>
    </row>
    <row r="158" spans="1:25" customFormat="1" ht="18.75" customHeight="1" x14ac:dyDescent="0.25">
      <c r="A158" s="43">
        <v>2</v>
      </c>
      <c r="B158" s="19" t="s">
        <v>837</v>
      </c>
      <c r="C158" s="292" t="s">
        <v>40</v>
      </c>
      <c r="D158" s="607" t="s">
        <v>220</v>
      </c>
      <c r="E158" s="38">
        <v>40</v>
      </c>
      <c r="F158" s="38">
        <v>40</v>
      </c>
      <c r="G158" s="273">
        <f t="shared" ref="G158:G191" si="15">+F158/E158*100</f>
        <v>100</v>
      </c>
      <c r="H158" s="38">
        <v>22000</v>
      </c>
      <c r="I158" s="277">
        <v>22000</v>
      </c>
      <c r="J158" s="273">
        <f t="shared" ref="J158:J170" si="16">+I158/H158*100</f>
        <v>100</v>
      </c>
      <c r="K158" s="3"/>
      <c r="L158" s="3"/>
      <c r="M158" s="3"/>
      <c r="N158" s="3"/>
      <c r="O158" s="3"/>
      <c r="P158" s="3"/>
      <c r="Q158" s="3"/>
      <c r="R158" s="3"/>
      <c r="S158" s="3"/>
      <c r="T158" s="3"/>
      <c r="U158" s="3"/>
      <c r="V158" s="3"/>
      <c r="W158" s="3"/>
      <c r="X158" s="3"/>
      <c r="Y158" s="3"/>
    </row>
    <row r="159" spans="1:25" customFormat="1" ht="18.75" customHeight="1" x14ac:dyDescent="0.25">
      <c r="A159" s="43">
        <v>3</v>
      </c>
      <c r="B159" s="19" t="s">
        <v>838</v>
      </c>
      <c r="C159" s="292" t="s">
        <v>40</v>
      </c>
      <c r="D159" s="607" t="s">
        <v>220</v>
      </c>
      <c r="E159" s="38">
        <v>40</v>
      </c>
      <c r="F159" s="38">
        <v>40</v>
      </c>
      <c r="G159" s="273">
        <f t="shared" si="15"/>
        <v>100</v>
      </c>
      <c r="H159" s="38">
        <v>15000</v>
      </c>
      <c r="I159" s="277">
        <v>15000</v>
      </c>
      <c r="J159" s="273">
        <f t="shared" si="16"/>
        <v>100</v>
      </c>
      <c r="K159" s="3"/>
      <c r="L159" s="3"/>
      <c r="M159" s="3"/>
      <c r="N159" s="3"/>
      <c r="O159" s="3"/>
      <c r="P159" s="3"/>
      <c r="Q159" s="3"/>
      <c r="R159" s="3"/>
      <c r="S159" s="3"/>
      <c r="T159" s="3"/>
      <c r="U159" s="3"/>
      <c r="V159" s="3"/>
      <c r="W159" s="3"/>
      <c r="X159" s="3"/>
      <c r="Y159" s="3"/>
    </row>
    <row r="160" spans="1:25" customFormat="1" ht="18.75" customHeight="1" x14ac:dyDescent="0.25">
      <c r="A160" s="43">
        <v>4</v>
      </c>
      <c r="B160" s="19" t="s">
        <v>839</v>
      </c>
      <c r="C160" s="292" t="s">
        <v>40</v>
      </c>
      <c r="D160" s="607" t="s">
        <v>220</v>
      </c>
      <c r="E160" s="38">
        <v>10</v>
      </c>
      <c r="F160" s="38">
        <v>10</v>
      </c>
      <c r="G160" s="273">
        <f t="shared" si="15"/>
        <v>100</v>
      </c>
      <c r="H160" s="38">
        <v>91000</v>
      </c>
      <c r="I160" s="277">
        <v>91000</v>
      </c>
      <c r="J160" s="273">
        <f t="shared" si="16"/>
        <v>100</v>
      </c>
      <c r="K160" s="3"/>
      <c r="L160" s="3"/>
      <c r="M160" s="3"/>
      <c r="N160" s="3"/>
      <c r="O160" s="3"/>
      <c r="P160" s="3"/>
      <c r="Q160" s="3"/>
      <c r="R160" s="3"/>
      <c r="S160" s="3"/>
      <c r="T160" s="3"/>
      <c r="U160" s="3"/>
      <c r="V160" s="3"/>
      <c r="W160" s="3"/>
      <c r="X160" s="3"/>
      <c r="Y160" s="3"/>
    </row>
    <row r="161" spans="1:25" customFormat="1" ht="18.75" customHeight="1" x14ac:dyDescent="0.25">
      <c r="A161" s="43">
        <v>5</v>
      </c>
      <c r="B161" s="19" t="s">
        <v>840</v>
      </c>
      <c r="C161" s="292" t="s">
        <v>40</v>
      </c>
      <c r="D161" s="607" t="s">
        <v>220</v>
      </c>
      <c r="E161" s="38">
        <v>70</v>
      </c>
      <c r="F161" s="38">
        <v>70</v>
      </c>
      <c r="G161" s="273">
        <f t="shared" si="15"/>
        <v>100</v>
      </c>
      <c r="H161" s="38">
        <v>51000</v>
      </c>
      <c r="I161" s="277">
        <v>51000</v>
      </c>
      <c r="J161" s="273">
        <f t="shared" si="16"/>
        <v>100</v>
      </c>
      <c r="K161" s="3"/>
      <c r="L161" s="3"/>
      <c r="M161" s="3"/>
      <c r="N161" s="3"/>
      <c r="O161" s="3"/>
      <c r="P161" s="3"/>
      <c r="Q161" s="3"/>
      <c r="R161" s="3"/>
      <c r="S161" s="3"/>
      <c r="T161" s="3"/>
      <c r="U161" s="3"/>
      <c r="V161" s="3"/>
      <c r="W161" s="3"/>
      <c r="X161" s="3"/>
      <c r="Y161" s="3"/>
    </row>
    <row r="162" spans="1:25" customFormat="1" ht="18.75" customHeight="1" x14ac:dyDescent="0.25">
      <c r="A162" s="43">
        <v>6</v>
      </c>
      <c r="B162" s="604" t="s">
        <v>841</v>
      </c>
      <c r="C162" s="292" t="s">
        <v>40</v>
      </c>
      <c r="D162" s="607" t="s">
        <v>220</v>
      </c>
      <c r="E162" s="38">
        <v>60</v>
      </c>
      <c r="F162" s="38">
        <v>60</v>
      </c>
      <c r="G162" s="273">
        <f t="shared" si="15"/>
        <v>100</v>
      </c>
      <c r="H162" s="38">
        <v>73945</v>
      </c>
      <c r="I162" s="277">
        <v>73945</v>
      </c>
      <c r="J162" s="273">
        <f t="shared" si="16"/>
        <v>100</v>
      </c>
      <c r="K162" s="3"/>
      <c r="L162" s="3"/>
      <c r="M162" s="3"/>
      <c r="N162" s="3"/>
      <c r="O162" s="3"/>
      <c r="P162" s="3"/>
      <c r="Q162" s="3"/>
      <c r="R162" s="3"/>
      <c r="S162" s="3"/>
      <c r="T162" s="3"/>
      <c r="U162" s="3"/>
      <c r="V162" s="3"/>
      <c r="W162" s="3"/>
      <c r="X162" s="3"/>
      <c r="Y162" s="3"/>
    </row>
    <row r="163" spans="1:25" customFormat="1" ht="18.75" customHeight="1" x14ac:dyDescent="0.25">
      <c r="A163" s="43">
        <v>7</v>
      </c>
      <c r="B163" s="604" t="s">
        <v>842</v>
      </c>
      <c r="C163" s="292" t="s">
        <v>40</v>
      </c>
      <c r="D163" s="607" t="s">
        <v>469</v>
      </c>
      <c r="E163" s="38">
        <v>40</v>
      </c>
      <c r="F163" s="38">
        <v>40</v>
      </c>
      <c r="G163" s="273">
        <f t="shared" si="15"/>
        <v>100</v>
      </c>
      <c r="H163" s="38">
        <v>12220</v>
      </c>
      <c r="I163" s="277">
        <v>12220</v>
      </c>
      <c r="J163" s="273">
        <f t="shared" si="16"/>
        <v>100</v>
      </c>
      <c r="K163" s="3"/>
      <c r="L163" s="3"/>
      <c r="M163" s="3"/>
      <c r="N163" s="3"/>
      <c r="O163" s="3"/>
      <c r="P163" s="3"/>
      <c r="Q163" s="3"/>
      <c r="R163" s="3"/>
      <c r="S163" s="3"/>
      <c r="T163" s="3"/>
      <c r="U163" s="3"/>
      <c r="V163" s="3"/>
      <c r="W163" s="3"/>
      <c r="X163" s="3"/>
      <c r="Y163" s="3"/>
    </row>
    <row r="164" spans="1:25" customFormat="1" ht="18.75" customHeight="1" x14ac:dyDescent="0.25">
      <c r="A164" s="43">
        <v>8</v>
      </c>
      <c r="B164" s="604" t="s">
        <v>843</v>
      </c>
      <c r="C164" s="292" t="s">
        <v>40</v>
      </c>
      <c r="D164" s="607" t="s">
        <v>747</v>
      </c>
      <c r="E164" s="38">
        <v>60</v>
      </c>
      <c r="F164" s="38">
        <v>60</v>
      </c>
      <c r="G164" s="273">
        <f t="shared" si="15"/>
        <v>100</v>
      </c>
      <c r="H164" s="38">
        <v>14000</v>
      </c>
      <c r="I164" s="277">
        <v>14000</v>
      </c>
      <c r="J164" s="273">
        <f t="shared" si="16"/>
        <v>100</v>
      </c>
      <c r="K164" s="3"/>
      <c r="L164" s="3"/>
      <c r="M164" s="3"/>
      <c r="N164" s="3"/>
      <c r="O164" s="3"/>
      <c r="P164" s="3"/>
      <c r="Q164" s="3"/>
      <c r="R164" s="3"/>
      <c r="S164" s="3"/>
      <c r="T164" s="3"/>
      <c r="U164" s="3"/>
      <c r="V164" s="3"/>
      <c r="W164" s="3"/>
      <c r="X164" s="3"/>
      <c r="Y164" s="3"/>
    </row>
    <row r="165" spans="1:25" customFormat="1" ht="18.75" customHeight="1" x14ac:dyDescent="0.25">
      <c r="A165" s="43">
        <v>9</v>
      </c>
      <c r="B165" s="604" t="s">
        <v>844</v>
      </c>
      <c r="C165" s="292" t="s">
        <v>40</v>
      </c>
      <c r="D165" s="607" t="s">
        <v>469</v>
      </c>
      <c r="E165" s="38">
        <v>48</v>
      </c>
      <c r="F165" s="38">
        <v>48</v>
      </c>
      <c r="G165" s="273">
        <f t="shared" si="15"/>
        <v>100</v>
      </c>
      <c r="H165" s="38">
        <v>5000</v>
      </c>
      <c r="I165" s="277">
        <v>5000</v>
      </c>
      <c r="J165" s="273">
        <f t="shared" si="16"/>
        <v>100</v>
      </c>
      <c r="K165" s="3"/>
      <c r="L165" s="3"/>
      <c r="M165" s="3"/>
      <c r="N165" s="3"/>
      <c r="O165" s="3"/>
      <c r="P165" s="3"/>
      <c r="Q165" s="3"/>
      <c r="R165" s="3"/>
      <c r="S165" s="3"/>
      <c r="T165" s="3"/>
      <c r="U165" s="3"/>
      <c r="V165" s="3"/>
      <c r="W165" s="3"/>
      <c r="X165" s="3"/>
      <c r="Y165" s="3"/>
    </row>
    <row r="166" spans="1:25" customFormat="1" ht="18.75" customHeight="1" x14ac:dyDescent="0.25">
      <c r="A166" s="43">
        <v>10</v>
      </c>
      <c r="B166" s="604" t="s">
        <v>845</v>
      </c>
      <c r="C166" s="292" t="s">
        <v>40</v>
      </c>
      <c r="D166" s="607" t="s">
        <v>220</v>
      </c>
      <c r="E166" s="38">
        <v>180</v>
      </c>
      <c r="F166" s="38">
        <v>180</v>
      </c>
      <c r="G166" s="273">
        <f t="shared" si="15"/>
        <v>100</v>
      </c>
      <c r="H166" s="38">
        <v>2000</v>
      </c>
      <c r="I166" s="277">
        <v>2000</v>
      </c>
      <c r="J166" s="273">
        <f t="shared" si="16"/>
        <v>100</v>
      </c>
      <c r="K166" s="3"/>
      <c r="L166" s="3"/>
      <c r="M166" s="3"/>
      <c r="N166" s="3"/>
      <c r="O166" s="3"/>
      <c r="P166" s="3"/>
      <c r="Q166" s="3"/>
      <c r="R166" s="3"/>
      <c r="S166" s="3"/>
      <c r="T166" s="3"/>
      <c r="U166" s="3"/>
      <c r="V166" s="3"/>
      <c r="W166" s="3"/>
      <c r="X166" s="3"/>
      <c r="Y166" s="3"/>
    </row>
    <row r="167" spans="1:25" customFormat="1" ht="18.75" customHeight="1" x14ac:dyDescent="0.25">
      <c r="A167" s="43">
        <v>11</v>
      </c>
      <c r="B167" s="19" t="s">
        <v>846</v>
      </c>
      <c r="C167" s="292" t="s">
        <v>40</v>
      </c>
      <c r="D167" s="607" t="s">
        <v>431</v>
      </c>
      <c r="E167" s="38">
        <v>12</v>
      </c>
      <c r="F167" s="38">
        <v>12</v>
      </c>
      <c r="G167" s="273">
        <f t="shared" si="15"/>
        <v>100</v>
      </c>
      <c r="H167" s="38">
        <v>3000</v>
      </c>
      <c r="I167" s="277">
        <v>3000</v>
      </c>
      <c r="J167" s="273">
        <f t="shared" si="16"/>
        <v>100</v>
      </c>
      <c r="K167" s="3"/>
      <c r="L167" s="3"/>
      <c r="M167" s="3"/>
      <c r="N167" s="3"/>
      <c r="O167" s="3"/>
      <c r="P167" s="3"/>
      <c r="Q167" s="3"/>
      <c r="R167" s="3"/>
      <c r="S167" s="3"/>
      <c r="T167" s="3"/>
      <c r="U167" s="3"/>
      <c r="V167" s="3"/>
      <c r="W167" s="3"/>
      <c r="X167" s="3"/>
      <c r="Y167" s="3"/>
    </row>
    <row r="168" spans="1:25" customFormat="1" ht="18.75" customHeight="1" x14ac:dyDescent="0.25">
      <c r="A168" s="43">
        <v>12</v>
      </c>
      <c r="B168" s="19" t="s">
        <v>847</v>
      </c>
      <c r="C168" s="292" t="s">
        <v>40</v>
      </c>
      <c r="D168" s="607" t="s">
        <v>848</v>
      </c>
      <c r="E168" s="38">
        <v>80</v>
      </c>
      <c r="F168" s="38">
        <v>80</v>
      </c>
      <c r="G168" s="273">
        <f t="shared" si="15"/>
        <v>100</v>
      </c>
      <c r="H168" s="38">
        <v>7000</v>
      </c>
      <c r="I168" s="277">
        <v>7000</v>
      </c>
      <c r="J168" s="273">
        <f t="shared" si="16"/>
        <v>100</v>
      </c>
      <c r="K168" s="3"/>
      <c r="L168" s="3"/>
      <c r="M168" s="3"/>
      <c r="N168" s="3"/>
      <c r="O168" s="3"/>
      <c r="P168" s="3"/>
      <c r="Q168" s="3"/>
      <c r="R168" s="3"/>
      <c r="S168" s="3"/>
      <c r="T168" s="3"/>
      <c r="U168" s="3"/>
      <c r="V168" s="3"/>
      <c r="W168" s="3"/>
      <c r="X168" s="3"/>
      <c r="Y168" s="3"/>
    </row>
    <row r="169" spans="1:25" customFormat="1" ht="18.75" customHeight="1" x14ac:dyDescent="0.25">
      <c r="A169" s="43">
        <v>13</v>
      </c>
      <c r="B169" s="19" t="s">
        <v>849</v>
      </c>
      <c r="C169" s="292" t="s">
        <v>40</v>
      </c>
      <c r="D169" s="607" t="s">
        <v>222</v>
      </c>
      <c r="E169" s="38">
        <v>48</v>
      </c>
      <c r="F169" s="38">
        <v>48</v>
      </c>
      <c r="G169" s="273">
        <f t="shared" si="15"/>
        <v>100</v>
      </c>
      <c r="H169" s="38">
        <v>27235</v>
      </c>
      <c r="I169" s="277">
        <v>27235</v>
      </c>
      <c r="J169" s="273">
        <f t="shared" si="16"/>
        <v>100</v>
      </c>
      <c r="K169" s="3"/>
      <c r="L169" s="3"/>
      <c r="M169" s="3"/>
      <c r="N169" s="3"/>
      <c r="O169" s="3"/>
      <c r="P169" s="3"/>
      <c r="Q169" s="3"/>
      <c r="R169" s="3"/>
      <c r="S169" s="3"/>
      <c r="T169" s="3"/>
      <c r="U169" s="3"/>
      <c r="V169" s="3"/>
      <c r="W169" s="3"/>
      <c r="X169" s="3"/>
      <c r="Y169" s="3"/>
    </row>
    <row r="170" spans="1:25" customFormat="1" ht="18.75" customHeight="1" x14ac:dyDescent="0.25">
      <c r="A170" s="19">
        <v>14</v>
      </c>
      <c r="B170" s="19" t="s">
        <v>850</v>
      </c>
      <c r="C170" s="292" t="s">
        <v>40</v>
      </c>
      <c r="D170" s="607" t="s">
        <v>577</v>
      </c>
      <c r="E170" s="38">
        <v>1</v>
      </c>
      <c r="F170" s="38">
        <v>1</v>
      </c>
      <c r="G170" s="273">
        <f t="shared" si="15"/>
        <v>100</v>
      </c>
      <c r="H170" s="38">
        <v>49600</v>
      </c>
      <c r="I170" s="277">
        <v>49600</v>
      </c>
      <c r="J170" s="273">
        <f t="shared" si="16"/>
        <v>100</v>
      </c>
      <c r="K170" s="3"/>
      <c r="L170" s="3"/>
      <c r="M170" s="3"/>
      <c r="N170" s="3"/>
      <c r="O170" s="3"/>
      <c r="P170" s="3"/>
      <c r="Q170" s="3"/>
      <c r="R170" s="3"/>
      <c r="S170" s="3"/>
      <c r="T170" s="3"/>
      <c r="U170" s="3"/>
      <c r="V170" s="3"/>
      <c r="W170" s="3"/>
      <c r="X170" s="3"/>
      <c r="Y170" s="3"/>
    </row>
    <row r="171" spans="1:25" customFormat="1" ht="18.75" customHeight="1" x14ac:dyDescent="0.25">
      <c r="A171" s="364"/>
      <c r="B171" s="53" t="s">
        <v>851</v>
      </c>
      <c r="C171" s="607"/>
      <c r="D171" s="168"/>
      <c r="E171" s="486"/>
      <c r="F171" s="486"/>
      <c r="G171" s="306"/>
      <c r="H171" s="41">
        <f>SUM(H172:H188)+H189</f>
        <v>319448</v>
      </c>
      <c r="I171" s="306">
        <f>SUM(I172:I188)+I189</f>
        <v>279915</v>
      </c>
      <c r="J171" s="306">
        <f>+I171/H171*100</f>
        <v>87.624589917607878</v>
      </c>
      <c r="K171" s="3"/>
      <c r="L171" s="3"/>
      <c r="M171" s="3"/>
      <c r="N171" s="3"/>
      <c r="O171" s="3"/>
      <c r="P171" s="3"/>
      <c r="Q171" s="3"/>
      <c r="R171" s="3"/>
      <c r="S171" s="3"/>
      <c r="T171" s="3"/>
      <c r="U171" s="3"/>
      <c r="V171" s="3"/>
      <c r="W171" s="3"/>
      <c r="X171" s="3"/>
      <c r="Y171" s="3"/>
    </row>
    <row r="172" spans="1:25" customFormat="1" ht="54.75" customHeight="1" x14ac:dyDescent="0.25">
      <c r="A172" s="43">
        <v>1</v>
      </c>
      <c r="B172" s="785" t="s">
        <v>852</v>
      </c>
      <c r="C172" s="607" t="s">
        <v>40</v>
      </c>
      <c r="D172" s="164" t="s">
        <v>459</v>
      </c>
      <c r="E172" s="37">
        <v>60</v>
      </c>
      <c r="F172" s="636">
        <v>60</v>
      </c>
      <c r="G172" s="273">
        <f t="shared" si="15"/>
        <v>100</v>
      </c>
      <c r="H172" s="37">
        <v>15023</v>
      </c>
      <c r="I172" s="273">
        <v>15023</v>
      </c>
      <c r="J172" s="273">
        <f t="shared" ref="J172:J190" si="17">+I172/H172*100</f>
        <v>100</v>
      </c>
      <c r="K172" s="3"/>
      <c r="L172" s="3"/>
      <c r="M172" s="3"/>
      <c r="N172" s="3"/>
      <c r="O172" s="3"/>
      <c r="P172" s="3"/>
      <c r="Q172" s="3"/>
      <c r="R172" s="3"/>
      <c r="S172" s="3"/>
      <c r="T172" s="3"/>
      <c r="U172" s="3"/>
      <c r="V172" s="3"/>
      <c r="W172" s="3"/>
      <c r="X172" s="3"/>
      <c r="Y172" s="3"/>
    </row>
    <row r="173" spans="1:25" customFormat="1" ht="28.5" customHeight="1" x14ac:dyDescent="0.25">
      <c r="A173" s="43">
        <v>2</v>
      </c>
      <c r="B173" s="785" t="s">
        <v>853</v>
      </c>
      <c r="C173" s="607" t="s">
        <v>40</v>
      </c>
      <c r="D173" s="164" t="s">
        <v>459</v>
      </c>
      <c r="E173" s="37">
        <v>240</v>
      </c>
      <c r="F173" s="636">
        <v>240</v>
      </c>
      <c r="G173" s="273">
        <f t="shared" si="15"/>
        <v>100</v>
      </c>
      <c r="H173" s="37">
        <v>13500</v>
      </c>
      <c r="I173" s="273">
        <v>13500</v>
      </c>
      <c r="J173" s="273">
        <f t="shared" si="17"/>
        <v>100</v>
      </c>
      <c r="K173" s="3"/>
      <c r="L173" s="3"/>
      <c r="M173" s="3"/>
      <c r="N173" s="3"/>
      <c r="O173" s="3"/>
      <c r="P173" s="3"/>
      <c r="Q173" s="3"/>
      <c r="R173" s="3"/>
      <c r="S173" s="3"/>
      <c r="T173" s="3"/>
      <c r="U173" s="3"/>
      <c r="V173" s="3"/>
      <c r="W173" s="3"/>
      <c r="X173" s="3"/>
      <c r="Y173" s="3"/>
    </row>
    <row r="174" spans="1:25" customFormat="1" ht="18.75" customHeight="1" x14ac:dyDescent="0.25">
      <c r="A174" s="43">
        <v>3</v>
      </c>
      <c r="B174" s="785" t="s">
        <v>854</v>
      </c>
      <c r="C174" s="607" t="s">
        <v>40</v>
      </c>
      <c r="D174" s="164" t="s">
        <v>411</v>
      </c>
      <c r="E174" s="37">
        <v>60</v>
      </c>
      <c r="F174" s="636">
        <v>60</v>
      </c>
      <c r="G174" s="273">
        <f t="shared" si="15"/>
        <v>100</v>
      </c>
      <c r="H174" s="37">
        <v>13636</v>
      </c>
      <c r="I174" s="273">
        <v>13636</v>
      </c>
      <c r="J174" s="273">
        <f t="shared" si="17"/>
        <v>100</v>
      </c>
      <c r="K174" s="3"/>
      <c r="L174" s="3"/>
      <c r="M174" s="3"/>
      <c r="N174" s="3"/>
      <c r="O174" s="3"/>
      <c r="P174" s="3"/>
      <c r="Q174" s="3"/>
      <c r="R174" s="3"/>
      <c r="S174" s="3"/>
      <c r="T174" s="3"/>
      <c r="U174" s="3"/>
      <c r="V174" s="3"/>
      <c r="W174" s="3"/>
      <c r="X174" s="3"/>
      <c r="Y174" s="3"/>
    </row>
    <row r="175" spans="1:25" customFormat="1" ht="18.75" customHeight="1" x14ac:dyDescent="0.25">
      <c r="A175" s="43">
        <v>4</v>
      </c>
      <c r="B175" s="785" t="s">
        <v>855</v>
      </c>
      <c r="C175" s="607" t="s">
        <v>40</v>
      </c>
      <c r="D175" s="164" t="s">
        <v>459</v>
      </c>
      <c r="E175" s="37">
        <v>12</v>
      </c>
      <c r="F175" s="636">
        <v>12</v>
      </c>
      <c r="G175" s="273">
        <f t="shared" si="15"/>
        <v>100</v>
      </c>
      <c r="H175" s="37">
        <v>12636</v>
      </c>
      <c r="I175" s="273">
        <v>12636</v>
      </c>
      <c r="J175" s="273">
        <f t="shared" si="17"/>
        <v>100</v>
      </c>
      <c r="K175" s="3"/>
      <c r="L175" s="3"/>
      <c r="M175" s="3"/>
      <c r="N175" s="3"/>
      <c r="O175" s="3"/>
      <c r="P175" s="3"/>
      <c r="Q175" s="3"/>
      <c r="R175" s="3"/>
      <c r="S175" s="3"/>
      <c r="T175" s="3"/>
      <c r="U175" s="3"/>
      <c r="V175" s="3"/>
      <c r="W175" s="3"/>
      <c r="X175" s="3"/>
      <c r="Y175" s="3"/>
    </row>
    <row r="176" spans="1:25" customFormat="1" ht="18.75" customHeight="1" x14ac:dyDescent="0.25">
      <c r="A176" s="43">
        <v>5</v>
      </c>
      <c r="B176" s="785" t="s">
        <v>856</v>
      </c>
      <c r="C176" s="607" t="s">
        <v>40</v>
      </c>
      <c r="D176" s="164" t="s">
        <v>411</v>
      </c>
      <c r="E176" s="37">
        <v>120</v>
      </c>
      <c r="F176" s="636">
        <v>120</v>
      </c>
      <c r="G176" s="273">
        <f t="shared" si="15"/>
        <v>100</v>
      </c>
      <c r="H176" s="37">
        <v>17636</v>
      </c>
      <c r="I176" s="273">
        <v>17636</v>
      </c>
      <c r="J176" s="273">
        <f t="shared" si="17"/>
        <v>100</v>
      </c>
      <c r="K176" s="3"/>
      <c r="L176" s="3"/>
      <c r="M176" s="3"/>
      <c r="N176" s="3"/>
      <c r="O176" s="3"/>
      <c r="P176" s="3"/>
      <c r="Q176" s="3"/>
      <c r="R176" s="3"/>
      <c r="S176" s="3"/>
      <c r="T176" s="3"/>
      <c r="U176" s="3"/>
      <c r="V176" s="3"/>
      <c r="W176" s="3"/>
      <c r="X176" s="3"/>
      <c r="Y176" s="3"/>
    </row>
    <row r="177" spans="1:25" customFormat="1" ht="18.75" customHeight="1" x14ac:dyDescent="0.25">
      <c r="A177" s="43">
        <v>6</v>
      </c>
      <c r="B177" s="785" t="s">
        <v>857</v>
      </c>
      <c r="C177" s="607" t="s">
        <v>40</v>
      </c>
      <c r="D177" s="164" t="s">
        <v>459</v>
      </c>
      <c r="E177" s="37">
        <v>240</v>
      </c>
      <c r="F177" s="636">
        <v>240</v>
      </c>
      <c r="G177" s="273">
        <f t="shared" si="15"/>
        <v>100</v>
      </c>
      <c r="H177" s="37">
        <v>15636</v>
      </c>
      <c r="I177" s="273">
        <v>15636</v>
      </c>
      <c r="J177" s="273">
        <f t="shared" si="17"/>
        <v>100</v>
      </c>
      <c r="K177" s="3"/>
      <c r="L177" s="3"/>
      <c r="M177" s="3"/>
      <c r="N177" s="3"/>
      <c r="O177" s="3"/>
      <c r="P177" s="3"/>
      <c r="Q177" s="3"/>
      <c r="R177" s="3"/>
      <c r="S177" s="3"/>
      <c r="T177" s="3"/>
      <c r="U177" s="3"/>
      <c r="V177" s="3"/>
      <c r="W177" s="3"/>
      <c r="X177" s="3"/>
      <c r="Y177" s="3"/>
    </row>
    <row r="178" spans="1:25" customFormat="1" ht="18.75" customHeight="1" x14ac:dyDescent="0.25">
      <c r="A178" s="43">
        <v>7</v>
      </c>
      <c r="B178" s="785" t="s">
        <v>858</v>
      </c>
      <c r="C178" s="607" t="s">
        <v>40</v>
      </c>
      <c r="D178" s="164" t="s">
        <v>220</v>
      </c>
      <c r="E178" s="37">
        <v>1</v>
      </c>
      <c r="F178" s="636">
        <v>1</v>
      </c>
      <c r="G178" s="273">
        <f t="shared" si="15"/>
        <v>100</v>
      </c>
      <c r="H178" s="37">
        <v>9000</v>
      </c>
      <c r="I178" s="273">
        <v>9000</v>
      </c>
      <c r="J178" s="273">
        <f t="shared" si="17"/>
        <v>100</v>
      </c>
      <c r="K178" s="3"/>
      <c r="L178" s="3"/>
      <c r="M178" s="3"/>
      <c r="N178" s="3"/>
      <c r="O178" s="3"/>
      <c r="P178" s="3"/>
      <c r="Q178" s="3"/>
      <c r="R178" s="3"/>
      <c r="S178" s="3"/>
      <c r="T178" s="3"/>
      <c r="U178" s="3"/>
      <c r="V178" s="3"/>
      <c r="W178" s="3"/>
      <c r="X178" s="3"/>
      <c r="Y178" s="3"/>
    </row>
    <row r="179" spans="1:25" customFormat="1" ht="18.75" customHeight="1" x14ac:dyDescent="0.25">
      <c r="A179" s="43">
        <v>8</v>
      </c>
      <c r="B179" s="785" t="s">
        <v>859</v>
      </c>
      <c r="C179" s="607" t="s">
        <v>40</v>
      </c>
      <c r="D179" s="164" t="s">
        <v>549</v>
      </c>
      <c r="E179" s="37">
        <v>2</v>
      </c>
      <c r="F179" s="636">
        <v>2</v>
      </c>
      <c r="G179" s="273">
        <f t="shared" si="15"/>
        <v>100</v>
      </c>
      <c r="H179" s="37">
        <v>10232</v>
      </c>
      <c r="I179" s="273">
        <v>10232</v>
      </c>
      <c r="J179" s="273">
        <f t="shared" si="17"/>
        <v>100</v>
      </c>
      <c r="K179" s="3"/>
      <c r="L179" s="3"/>
      <c r="M179" s="3"/>
      <c r="N179" s="3"/>
      <c r="O179" s="3"/>
      <c r="P179" s="3"/>
      <c r="Q179" s="3"/>
      <c r="R179" s="3"/>
      <c r="S179" s="3"/>
      <c r="T179" s="3"/>
      <c r="U179" s="3"/>
      <c r="V179" s="3"/>
      <c r="W179" s="3"/>
      <c r="X179" s="3"/>
      <c r="Y179" s="3"/>
    </row>
    <row r="180" spans="1:25" customFormat="1" ht="18.75" customHeight="1" x14ac:dyDescent="0.25">
      <c r="A180" s="43">
        <v>9</v>
      </c>
      <c r="B180" s="785" t="s">
        <v>860</v>
      </c>
      <c r="C180" s="607" t="s">
        <v>40</v>
      </c>
      <c r="D180" s="164" t="s">
        <v>549</v>
      </c>
      <c r="E180" s="37">
        <v>24</v>
      </c>
      <c r="F180" s="636">
        <v>24</v>
      </c>
      <c r="G180" s="273">
        <f t="shared" si="15"/>
        <v>100</v>
      </c>
      <c r="H180" s="37">
        <v>17636</v>
      </c>
      <c r="I180" s="273">
        <v>17093</v>
      </c>
      <c r="J180" s="273">
        <f t="shared" si="17"/>
        <v>96.921070537536863</v>
      </c>
      <c r="K180" s="3"/>
      <c r="L180" s="3"/>
      <c r="M180" s="3"/>
      <c r="N180" s="3"/>
      <c r="O180" s="3"/>
      <c r="P180" s="3"/>
      <c r="Q180" s="3"/>
      <c r="R180" s="3"/>
      <c r="S180" s="3"/>
      <c r="T180" s="3"/>
      <c r="U180" s="3"/>
      <c r="V180" s="3"/>
      <c r="W180" s="3"/>
      <c r="X180" s="3"/>
      <c r="Y180" s="3"/>
    </row>
    <row r="181" spans="1:25" customFormat="1" ht="18.75" customHeight="1" x14ac:dyDescent="0.25">
      <c r="A181" s="43">
        <v>10</v>
      </c>
      <c r="B181" s="785" t="s">
        <v>861</v>
      </c>
      <c r="C181" s="607" t="s">
        <v>40</v>
      </c>
      <c r="D181" s="164" t="s">
        <v>459</v>
      </c>
      <c r="E181" s="37">
        <v>360</v>
      </c>
      <c r="F181" s="636">
        <v>360</v>
      </c>
      <c r="G181" s="273">
        <f t="shared" si="15"/>
        <v>100</v>
      </c>
      <c r="H181" s="37">
        <v>17636</v>
      </c>
      <c r="I181" s="273">
        <v>17636</v>
      </c>
      <c r="J181" s="273">
        <f t="shared" si="17"/>
        <v>100</v>
      </c>
      <c r="K181" s="3"/>
      <c r="L181" s="3"/>
      <c r="M181" s="3"/>
      <c r="N181" s="3"/>
      <c r="O181" s="3"/>
      <c r="P181" s="3"/>
      <c r="Q181" s="3"/>
      <c r="R181" s="3"/>
      <c r="S181" s="3"/>
      <c r="T181" s="3"/>
      <c r="U181" s="3"/>
      <c r="V181" s="3"/>
      <c r="W181" s="3"/>
      <c r="X181" s="3"/>
      <c r="Y181" s="3"/>
    </row>
    <row r="182" spans="1:25" customFormat="1" ht="29.25" customHeight="1" x14ac:dyDescent="0.25">
      <c r="A182" s="43">
        <v>11</v>
      </c>
      <c r="B182" s="785" t="s">
        <v>862</v>
      </c>
      <c r="C182" s="607" t="s">
        <v>40</v>
      </c>
      <c r="D182" s="164" t="s">
        <v>459</v>
      </c>
      <c r="E182" s="37">
        <v>12</v>
      </c>
      <c r="F182" s="636">
        <v>10</v>
      </c>
      <c r="G182" s="273">
        <f t="shared" si="15"/>
        <v>83.333333333333343</v>
      </c>
      <c r="H182" s="37">
        <v>12636</v>
      </c>
      <c r="I182" s="273">
        <v>12636</v>
      </c>
      <c r="J182" s="273">
        <f t="shared" si="17"/>
        <v>100</v>
      </c>
      <c r="K182" s="3"/>
      <c r="L182" s="3"/>
      <c r="M182" s="3"/>
      <c r="N182" s="3"/>
      <c r="O182" s="3"/>
      <c r="P182" s="3"/>
      <c r="Q182" s="3"/>
      <c r="R182" s="3"/>
      <c r="S182" s="3"/>
      <c r="T182" s="3"/>
      <c r="U182" s="3"/>
      <c r="V182" s="3"/>
      <c r="W182" s="3"/>
      <c r="X182" s="3"/>
      <c r="Y182" s="3"/>
    </row>
    <row r="183" spans="1:25" customFormat="1" ht="18.75" customHeight="1" x14ac:dyDescent="0.25">
      <c r="A183" s="43">
        <v>12</v>
      </c>
      <c r="B183" s="785" t="s">
        <v>863</v>
      </c>
      <c r="C183" s="607" t="s">
        <v>40</v>
      </c>
      <c r="D183" s="164" t="s">
        <v>459</v>
      </c>
      <c r="E183" s="37">
        <v>12</v>
      </c>
      <c r="F183" s="636">
        <v>11</v>
      </c>
      <c r="G183" s="273">
        <f t="shared" si="15"/>
        <v>91.666666666666657</v>
      </c>
      <c r="H183" s="37">
        <v>11636</v>
      </c>
      <c r="I183" s="273">
        <v>11636</v>
      </c>
      <c r="J183" s="273">
        <f t="shared" si="17"/>
        <v>100</v>
      </c>
      <c r="K183" s="3"/>
      <c r="L183" s="3"/>
      <c r="M183" s="3"/>
      <c r="N183" s="3"/>
      <c r="O183" s="3"/>
      <c r="P183" s="3"/>
      <c r="Q183" s="3"/>
      <c r="R183" s="3"/>
      <c r="S183" s="3"/>
      <c r="T183" s="3"/>
      <c r="U183" s="3"/>
      <c r="V183" s="3"/>
      <c r="W183" s="3"/>
      <c r="X183" s="3"/>
      <c r="Y183" s="3"/>
    </row>
    <row r="184" spans="1:25" customFormat="1" ht="18.75" customHeight="1" x14ac:dyDescent="0.25">
      <c r="A184" s="43">
        <v>13</v>
      </c>
      <c r="B184" s="785" t="s">
        <v>864</v>
      </c>
      <c r="C184" s="607" t="s">
        <v>40</v>
      </c>
      <c r="D184" s="164" t="s">
        <v>459</v>
      </c>
      <c r="E184" s="37">
        <v>12</v>
      </c>
      <c r="F184" s="636">
        <v>12</v>
      </c>
      <c r="G184" s="273">
        <f t="shared" si="15"/>
        <v>100</v>
      </c>
      <c r="H184" s="37">
        <v>15636</v>
      </c>
      <c r="I184" s="273">
        <v>15636</v>
      </c>
      <c r="J184" s="273">
        <f t="shared" si="17"/>
        <v>100</v>
      </c>
      <c r="K184" s="3"/>
      <c r="L184" s="3"/>
      <c r="M184" s="3"/>
      <c r="N184" s="3"/>
      <c r="O184" s="3"/>
      <c r="P184" s="3"/>
      <c r="Q184" s="3"/>
      <c r="R184" s="3"/>
      <c r="S184" s="3"/>
      <c r="T184" s="3"/>
      <c r="U184" s="3"/>
      <c r="V184" s="3"/>
      <c r="W184" s="3"/>
      <c r="X184" s="3"/>
      <c r="Y184" s="3"/>
    </row>
    <row r="185" spans="1:25" customFormat="1" ht="43.5" customHeight="1" x14ac:dyDescent="0.25">
      <c r="A185" s="43">
        <v>14</v>
      </c>
      <c r="B185" s="785" t="s">
        <v>865</v>
      </c>
      <c r="C185" s="607" t="s">
        <v>40</v>
      </c>
      <c r="D185" s="164" t="s">
        <v>90</v>
      </c>
      <c r="E185" s="37">
        <v>2</v>
      </c>
      <c r="F185" s="636">
        <v>2</v>
      </c>
      <c r="G185" s="273">
        <f t="shared" si="15"/>
        <v>100</v>
      </c>
      <c r="H185" s="37">
        <v>13636</v>
      </c>
      <c r="I185" s="273">
        <v>13636</v>
      </c>
      <c r="J185" s="273">
        <f t="shared" si="17"/>
        <v>100</v>
      </c>
      <c r="K185" s="3"/>
      <c r="L185" s="3"/>
      <c r="M185" s="3"/>
      <c r="N185" s="3"/>
      <c r="O185" s="3"/>
      <c r="P185" s="3"/>
      <c r="Q185" s="3"/>
      <c r="R185" s="3"/>
      <c r="S185" s="3"/>
      <c r="T185" s="3"/>
      <c r="U185" s="3"/>
      <c r="V185" s="3"/>
      <c r="W185" s="3"/>
      <c r="X185" s="3"/>
      <c r="Y185" s="3"/>
    </row>
    <row r="186" spans="1:25" customFormat="1" ht="18.75" customHeight="1" x14ac:dyDescent="0.25">
      <c r="A186" s="43">
        <v>15</v>
      </c>
      <c r="B186" s="785" t="s">
        <v>866</v>
      </c>
      <c r="C186" s="599" t="s">
        <v>40</v>
      </c>
      <c r="D186" s="164" t="s">
        <v>52</v>
      </c>
      <c r="E186" s="37">
        <v>1</v>
      </c>
      <c r="F186" s="636">
        <v>1</v>
      </c>
      <c r="G186" s="273">
        <f t="shared" si="15"/>
        <v>100</v>
      </c>
      <c r="H186" s="37">
        <v>17636</v>
      </c>
      <c r="I186" s="273">
        <v>17636</v>
      </c>
      <c r="J186" s="273">
        <f t="shared" si="17"/>
        <v>100</v>
      </c>
      <c r="K186" s="3"/>
      <c r="L186" s="3"/>
      <c r="M186" s="3"/>
      <c r="N186" s="3"/>
      <c r="O186" s="3"/>
      <c r="P186" s="3"/>
      <c r="Q186" s="3"/>
      <c r="R186" s="3"/>
      <c r="S186" s="3"/>
      <c r="T186" s="3"/>
      <c r="U186" s="3"/>
      <c r="V186" s="3"/>
      <c r="W186" s="3"/>
      <c r="X186" s="3"/>
      <c r="Y186" s="3"/>
    </row>
    <row r="187" spans="1:25" customFormat="1" ht="18.75" customHeight="1" x14ac:dyDescent="0.25">
      <c r="A187" s="786">
        <v>16</v>
      </c>
      <c r="B187" s="787" t="s">
        <v>867</v>
      </c>
      <c r="C187" s="607" t="s">
        <v>40</v>
      </c>
      <c r="D187" s="648" t="s">
        <v>52</v>
      </c>
      <c r="E187" s="788">
        <v>1</v>
      </c>
      <c r="F187" s="789">
        <v>1</v>
      </c>
      <c r="G187" s="273">
        <f t="shared" si="15"/>
        <v>100</v>
      </c>
      <c r="H187" s="37">
        <v>15636</v>
      </c>
      <c r="I187" s="273">
        <v>15636</v>
      </c>
      <c r="J187" s="273">
        <f t="shared" si="17"/>
        <v>100</v>
      </c>
      <c r="K187" s="3"/>
      <c r="L187" s="3"/>
      <c r="M187" s="3"/>
      <c r="N187" s="3"/>
      <c r="O187" s="3"/>
      <c r="P187" s="3"/>
      <c r="Q187" s="3"/>
      <c r="R187" s="3"/>
      <c r="S187" s="3"/>
      <c r="T187" s="3"/>
      <c r="U187" s="3"/>
      <c r="V187" s="3"/>
      <c r="W187" s="3"/>
      <c r="X187" s="3"/>
      <c r="Y187" s="3"/>
    </row>
    <row r="188" spans="1:25" customFormat="1" ht="18.75" customHeight="1" x14ac:dyDescent="0.25">
      <c r="A188" s="43">
        <v>17</v>
      </c>
      <c r="B188" s="785" t="s">
        <v>868</v>
      </c>
      <c r="C188" s="607" t="s">
        <v>40</v>
      </c>
      <c r="D188" s="164" t="s">
        <v>90</v>
      </c>
      <c r="E188" s="37">
        <v>2</v>
      </c>
      <c r="F188" s="636">
        <v>2</v>
      </c>
      <c r="G188" s="273">
        <f t="shared" si="15"/>
        <v>100</v>
      </c>
      <c r="H188" s="37">
        <v>15636</v>
      </c>
      <c r="I188" s="273">
        <v>15636</v>
      </c>
      <c r="J188" s="273">
        <f t="shared" si="17"/>
        <v>100</v>
      </c>
    </row>
    <row r="189" spans="1:25" customFormat="1" ht="18.75" customHeight="1" x14ac:dyDescent="0.25">
      <c r="A189" s="786">
        <v>18</v>
      </c>
      <c r="B189" s="787" t="s">
        <v>869</v>
      </c>
      <c r="C189" s="607" t="s">
        <v>40</v>
      </c>
      <c r="D189" s="164" t="s">
        <v>556</v>
      </c>
      <c r="E189" s="37">
        <v>10</v>
      </c>
      <c r="F189" s="636">
        <v>10</v>
      </c>
      <c r="G189" s="273">
        <f t="shared" si="15"/>
        <v>100</v>
      </c>
      <c r="H189" s="37">
        <v>74425</v>
      </c>
      <c r="I189" s="273">
        <v>35435</v>
      </c>
      <c r="J189" s="273">
        <f t="shared" si="17"/>
        <v>47.611689620423249</v>
      </c>
    </row>
    <row r="190" spans="1:25" ht="18.75" customHeight="1" x14ac:dyDescent="0.2">
      <c r="A190" s="609" t="s">
        <v>2302</v>
      </c>
      <c r="B190" s="10"/>
      <c r="C190" s="607"/>
      <c r="D190" s="164"/>
      <c r="E190" s="790"/>
      <c r="F190" s="790"/>
      <c r="G190" s="790"/>
      <c r="H190" s="791">
        <f>+H191</f>
        <v>3168483</v>
      </c>
      <c r="I190" s="792">
        <f>+I191</f>
        <v>1863051.7</v>
      </c>
      <c r="J190" s="81">
        <f t="shared" si="17"/>
        <v>58.799485431987485</v>
      </c>
    </row>
    <row r="191" spans="1:25" ht="27" customHeight="1" x14ac:dyDescent="0.2">
      <c r="A191" s="43">
        <v>1</v>
      </c>
      <c r="B191" s="604" t="s">
        <v>1026</v>
      </c>
      <c r="C191" s="183" t="s">
        <v>168</v>
      </c>
      <c r="D191" s="164" t="s">
        <v>1027</v>
      </c>
      <c r="E191" s="793">
        <v>1</v>
      </c>
      <c r="F191" s="794">
        <v>0.59</v>
      </c>
      <c r="G191" s="273">
        <f t="shared" si="15"/>
        <v>59</v>
      </c>
      <c r="H191" s="16">
        <v>3168483</v>
      </c>
      <c r="I191" s="42">
        <v>1863051.7</v>
      </c>
      <c r="J191" s="500">
        <f>+I191/H191*100</f>
        <v>58.799485431987485</v>
      </c>
    </row>
    <row r="192" spans="1:25" ht="17.25" customHeight="1" x14ac:dyDescent="0.2">
      <c r="A192" s="1009" t="s">
        <v>2290</v>
      </c>
      <c r="B192" s="1010"/>
      <c r="C192" s="607"/>
      <c r="D192" s="164"/>
      <c r="E192" s="790"/>
      <c r="F192" s="790"/>
      <c r="G192" s="790"/>
      <c r="H192" s="791">
        <f>+H193</f>
        <v>2946307</v>
      </c>
      <c r="I192" s="792">
        <f>+I193</f>
        <v>2409383</v>
      </c>
      <c r="J192" s="81">
        <f>+I192/H192*100</f>
        <v>81.776372930587343</v>
      </c>
    </row>
    <row r="193" spans="1:10" ht="20.25" customHeight="1" x14ac:dyDescent="0.2">
      <c r="A193" s="43">
        <v>1</v>
      </c>
      <c r="B193" s="604" t="s">
        <v>2289</v>
      </c>
      <c r="C193" s="183" t="s">
        <v>40</v>
      </c>
      <c r="D193" s="164" t="s">
        <v>459</v>
      </c>
      <c r="E193" s="795">
        <v>12</v>
      </c>
      <c r="F193" s="794">
        <v>12</v>
      </c>
      <c r="G193" s="273">
        <f>+F193/E193*100</f>
        <v>100</v>
      </c>
      <c r="H193" s="16">
        <v>2946307</v>
      </c>
      <c r="I193" s="42">
        <v>2409383</v>
      </c>
      <c r="J193" s="500">
        <f>+I193/H193*100</f>
        <v>81.776372930587343</v>
      </c>
    </row>
  </sheetData>
  <mergeCells count="27">
    <mergeCell ref="A192:B192"/>
    <mergeCell ref="D5:G5"/>
    <mergeCell ref="H5:J5"/>
    <mergeCell ref="A3:J3"/>
    <mergeCell ref="A4:J4"/>
    <mergeCell ref="A43:A45"/>
    <mergeCell ref="B43:B45"/>
    <mergeCell ref="C43:C45"/>
    <mergeCell ref="B18:B19"/>
    <mergeCell ref="C18:C19"/>
    <mergeCell ref="B22:B23"/>
    <mergeCell ref="A60:B60"/>
    <mergeCell ref="A143:B143"/>
    <mergeCell ref="A22:A23"/>
    <mergeCell ref="C22:C23"/>
    <mergeCell ref="A2:B2"/>
    <mergeCell ref="A5:A6"/>
    <mergeCell ref="B5:B6"/>
    <mergeCell ref="C5:C6"/>
    <mergeCell ref="A25:A26"/>
    <mergeCell ref="B25:B26"/>
    <mergeCell ref="C25:C26"/>
    <mergeCell ref="A7:B7"/>
    <mergeCell ref="A14:A16"/>
    <mergeCell ref="B14:B16"/>
    <mergeCell ref="C14:C16"/>
    <mergeCell ref="A18:A19"/>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79998168889431442"/>
  </sheetPr>
  <dimension ref="A2:N92"/>
  <sheetViews>
    <sheetView view="pageBreakPreview" topLeftCell="A64" zoomScale="60" zoomScaleNormal="100" workbookViewId="0">
      <selection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65" customWidth="1"/>
    <col min="6" max="6" width="11.7109375" style="159" customWidth="1"/>
    <col min="7" max="7" width="10.140625" style="159" customWidth="1"/>
    <col min="8" max="8" width="12.5703125" style="65" customWidth="1"/>
    <col min="9" max="9" width="13.42578125" style="65" customWidth="1"/>
    <col min="10" max="10" width="9.85546875" style="65" customWidth="1"/>
    <col min="11" max="16384" width="11.42578125" style="3"/>
  </cols>
  <sheetData>
    <row r="2" spans="1:11" ht="18" customHeight="1" x14ac:dyDescent="0.2">
      <c r="A2" s="982" t="s">
        <v>37</v>
      </c>
      <c r="B2" s="983"/>
      <c r="C2" s="1"/>
      <c r="D2" s="150"/>
      <c r="E2" s="61"/>
      <c r="F2" s="150"/>
      <c r="G2" s="150"/>
      <c r="H2" s="61"/>
      <c r="I2" s="61"/>
      <c r="J2" s="66"/>
    </row>
    <row r="3" spans="1:11" ht="19.5" customHeight="1" x14ac:dyDescent="0.2">
      <c r="A3" s="987" t="s">
        <v>33</v>
      </c>
      <c r="B3" s="988"/>
      <c r="C3" s="988"/>
      <c r="D3" s="988"/>
      <c r="E3" s="988"/>
      <c r="F3" s="988"/>
      <c r="G3" s="988"/>
      <c r="H3" s="988"/>
      <c r="I3" s="988"/>
      <c r="J3" s="989"/>
    </row>
    <row r="4" spans="1:11" ht="18" customHeight="1" x14ac:dyDescent="0.2">
      <c r="A4" s="987" t="s">
        <v>35</v>
      </c>
      <c r="B4" s="988"/>
      <c r="C4" s="988"/>
      <c r="D4" s="988"/>
      <c r="E4" s="988"/>
      <c r="F4" s="988"/>
      <c r="G4" s="988"/>
      <c r="H4" s="988"/>
      <c r="I4" s="988"/>
      <c r="J4" s="989"/>
    </row>
    <row r="5" spans="1:11" ht="18" customHeight="1" x14ac:dyDescent="0.2">
      <c r="A5" s="1007" t="s">
        <v>0</v>
      </c>
      <c r="B5" s="1007" t="s">
        <v>1</v>
      </c>
      <c r="C5" s="984" t="s">
        <v>2</v>
      </c>
      <c r="D5" s="990" t="s">
        <v>1440</v>
      </c>
      <c r="E5" s="990"/>
      <c r="F5" s="990"/>
      <c r="G5" s="990"/>
      <c r="H5" s="990" t="s">
        <v>1441</v>
      </c>
      <c r="I5" s="990"/>
      <c r="J5" s="990"/>
    </row>
    <row r="6" spans="1:11" ht="24" customHeight="1" x14ac:dyDescent="0.2">
      <c r="A6" s="1008"/>
      <c r="B6" s="1008"/>
      <c r="C6" s="984"/>
      <c r="D6" s="4" t="s">
        <v>3</v>
      </c>
      <c r="E6" s="4" t="s">
        <v>4</v>
      </c>
      <c r="F6" s="270" t="s">
        <v>1298</v>
      </c>
      <c r="G6" s="270" t="s">
        <v>1439</v>
      </c>
      <c r="H6" s="131" t="s">
        <v>1297</v>
      </c>
      <c r="I6" s="270" t="s">
        <v>1298</v>
      </c>
      <c r="J6" s="270" t="s">
        <v>1439</v>
      </c>
    </row>
    <row r="7" spans="1:11" customFormat="1" ht="18.75" customHeight="1" x14ac:dyDescent="0.25">
      <c r="A7" s="1119" t="s">
        <v>871</v>
      </c>
      <c r="B7" s="1119"/>
      <c r="C7" s="20"/>
      <c r="D7" s="78"/>
      <c r="E7" s="21"/>
      <c r="F7" s="21"/>
      <c r="G7" s="21"/>
      <c r="H7" s="69">
        <f>+H8</f>
        <v>230070</v>
      </c>
      <c r="I7" s="383">
        <f>+I8</f>
        <v>230069</v>
      </c>
      <c r="J7" s="383">
        <f>+J8</f>
        <v>99.999565349676189</v>
      </c>
      <c r="K7" s="3"/>
    </row>
    <row r="8" spans="1:11" customFormat="1" ht="37.5" customHeight="1" x14ac:dyDescent="0.25">
      <c r="A8" s="483">
        <v>1</v>
      </c>
      <c r="B8" s="399" t="s">
        <v>872</v>
      </c>
      <c r="C8" s="60" t="s">
        <v>40</v>
      </c>
      <c r="D8" s="592" t="s">
        <v>873</v>
      </c>
      <c r="E8" s="91">
        <v>23</v>
      </c>
      <c r="F8" s="31">
        <v>23</v>
      </c>
      <c r="G8" s="71">
        <f>+F8/E8*100</f>
        <v>100</v>
      </c>
      <c r="H8" s="470">
        <v>230070</v>
      </c>
      <c r="I8" s="130">
        <v>230069</v>
      </c>
      <c r="J8" s="71">
        <f>+I8/H8*100</f>
        <v>99.999565349676189</v>
      </c>
      <c r="K8" s="3"/>
    </row>
    <row r="9" spans="1:11" customFormat="1" ht="25.5" customHeight="1" x14ac:dyDescent="0.25">
      <c r="A9" s="1118" t="s">
        <v>1438</v>
      </c>
      <c r="B9" s="1118"/>
      <c r="C9" s="183"/>
      <c r="D9" s="162"/>
      <c r="E9" s="106"/>
      <c r="F9" s="390"/>
      <c r="G9" s="390"/>
      <c r="H9" s="67">
        <f>+H10+H31</f>
        <v>751926</v>
      </c>
      <c r="I9" s="81">
        <f>+I10+I31</f>
        <v>751873</v>
      </c>
      <c r="J9" s="383">
        <f>+J10</f>
        <v>99.998944711315232</v>
      </c>
      <c r="K9" s="3"/>
    </row>
    <row r="10" spans="1:11" customFormat="1" ht="18.75" customHeight="1" x14ac:dyDescent="0.25">
      <c r="A10" s="92"/>
      <c r="B10" s="87" t="s">
        <v>893</v>
      </c>
      <c r="C10" s="176"/>
      <c r="D10" s="176"/>
      <c r="E10" s="107"/>
      <c r="F10" s="868"/>
      <c r="G10" s="868"/>
      <c r="H10" s="121">
        <f>+H11+H28+H29+H30</f>
        <v>473804</v>
      </c>
      <c r="I10" s="305">
        <f>+I11+I28+I29+I30</f>
        <v>473799</v>
      </c>
      <c r="J10" s="305">
        <f>+I10/H10*100</f>
        <v>99.998944711315232</v>
      </c>
      <c r="K10" s="3"/>
    </row>
    <row r="11" spans="1:11" customFormat="1" ht="18.75" customHeight="1" x14ac:dyDescent="0.25">
      <c r="A11" s="70">
        <v>1</v>
      </c>
      <c r="B11" s="56" t="s">
        <v>894</v>
      </c>
      <c r="C11" s="160"/>
      <c r="D11" s="158"/>
      <c r="E11" s="108"/>
      <c r="F11" s="115"/>
      <c r="G11" s="115"/>
      <c r="H11" s="33">
        <f>SUM(H12:H27)</f>
        <v>230286</v>
      </c>
      <c r="I11" s="387">
        <f>SUM(I12:I27)</f>
        <v>230281</v>
      </c>
      <c r="J11" s="387">
        <f>+I11/H11*100</f>
        <v>99.997828786812917</v>
      </c>
    </row>
    <row r="12" spans="1:11" customFormat="1" ht="25.5" customHeight="1" x14ac:dyDescent="0.25">
      <c r="A12" s="74">
        <v>1.1000000000000001</v>
      </c>
      <c r="B12" s="29" t="s">
        <v>895</v>
      </c>
      <c r="C12" s="366" t="s">
        <v>46</v>
      </c>
      <c r="D12" s="174" t="s">
        <v>577</v>
      </c>
      <c r="E12" s="109">
        <v>1</v>
      </c>
      <c r="F12" s="109">
        <v>1</v>
      </c>
      <c r="G12" s="71">
        <f t="shared" ref="G12:G30" si="0">+F12/E12*100</f>
        <v>100</v>
      </c>
      <c r="H12" s="122">
        <v>10380</v>
      </c>
      <c r="I12" s="311">
        <f>10380-5</f>
        <v>10375</v>
      </c>
      <c r="J12" s="71">
        <f t="shared" ref="J12:J74" si="1">+I12/H12*100</f>
        <v>99.951830443159935</v>
      </c>
    </row>
    <row r="13" spans="1:11" customFormat="1" ht="18.75" customHeight="1" x14ac:dyDescent="0.25">
      <c r="A13" s="74">
        <v>1.2</v>
      </c>
      <c r="B13" s="29" t="s">
        <v>896</v>
      </c>
      <c r="C13" s="366" t="s">
        <v>46</v>
      </c>
      <c r="D13" s="174" t="s">
        <v>897</v>
      </c>
      <c r="E13" s="109">
        <v>1</v>
      </c>
      <c r="F13" s="109">
        <v>1</v>
      </c>
      <c r="G13" s="71">
        <f t="shared" si="0"/>
        <v>100</v>
      </c>
      <c r="H13" s="122">
        <v>12500</v>
      </c>
      <c r="I13" s="311">
        <v>12500</v>
      </c>
      <c r="J13" s="71">
        <f t="shared" si="1"/>
        <v>100</v>
      </c>
    </row>
    <row r="14" spans="1:11" customFormat="1" ht="40.5" customHeight="1" x14ac:dyDescent="0.25">
      <c r="A14" s="74">
        <v>1.3</v>
      </c>
      <c r="B14" s="29" t="s">
        <v>898</v>
      </c>
      <c r="C14" s="366" t="s">
        <v>40</v>
      </c>
      <c r="D14" s="174" t="s">
        <v>52</v>
      </c>
      <c r="E14" s="109">
        <v>2</v>
      </c>
      <c r="F14" s="109">
        <v>2</v>
      </c>
      <c r="G14" s="71">
        <f t="shared" si="0"/>
        <v>100</v>
      </c>
      <c r="H14" s="122">
        <v>13500</v>
      </c>
      <c r="I14" s="311">
        <v>13500</v>
      </c>
      <c r="J14" s="71">
        <f t="shared" si="1"/>
        <v>100</v>
      </c>
    </row>
    <row r="15" spans="1:11" customFormat="1" ht="40.5" customHeight="1" x14ac:dyDescent="0.25">
      <c r="A15" s="74">
        <v>1.4</v>
      </c>
      <c r="B15" s="29" t="s">
        <v>899</v>
      </c>
      <c r="C15" s="366" t="s">
        <v>46</v>
      </c>
      <c r="D15" s="174" t="s">
        <v>52</v>
      </c>
      <c r="E15" s="109">
        <v>1</v>
      </c>
      <c r="F15" s="109">
        <v>1</v>
      </c>
      <c r="G15" s="71">
        <f t="shared" si="0"/>
        <v>100</v>
      </c>
      <c r="H15" s="122">
        <v>16750</v>
      </c>
      <c r="I15" s="311">
        <v>16750</v>
      </c>
      <c r="J15" s="71">
        <f t="shared" si="1"/>
        <v>100</v>
      </c>
    </row>
    <row r="16" spans="1:11" customFormat="1" ht="65.25" customHeight="1" x14ac:dyDescent="0.25">
      <c r="A16" s="74">
        <v>1.5</v>
      </c>
      <c r="B16" s="29" t="s">
        <v>900</v>
      </c>
      <c r="C16" s="366" t="s">
        <v>46</v>
      </c>
      <c r="D16" s="174" t="s">
        <v>52</v>
      </c>
      <c r="E16" s="109">
        <v>4</v>
      </c>
      <c r="F16" s="109">
        <v>4</v>
      </c>
      <c r="G16" s="71">
        <f t="shared" si="0"/>
        <v>100</v>
      </c>
      <c r="H16" s="122">
        <v>15200</v>
      </c>
      <c r="I16" s="311">
        <v>15200</v>
      </c>
      <c r="J16" s="71">
        <f t="shared" si="1"/>
        <v>100</v>
      </c>
    </row>
    <row r="17" spans="1:12" customFormat="1" ht="25.5" customHeight="1" x14ac:dyDescent="0.25">
      <c r="A17" s="74">
        <v>1.6</v>
      </c>
      <c r="B17" s="29" t="s">
        <v>901</v>
      </c>
      <c r="C17" s="366" t="s">
        <v>46</v>
      </c>
      <c r="D17" s="174" t="s">
        <v>52</v>
      </c>
      <c r="E17" s="109">
        <v>4</v>
      </c>
      <c r="F17" s="109">
        <v>4</v>
      </c>
      <c r="G17" s="71">
        <f t="shared" si="0"/>
        <v>100</v>
      </c>
      <c r="H17" s="122">
        <v>23000</v>
      </c>
      <c r="I17" s="311">
        <v>23000</v>
      </c>
      <c r="J17" s="71">
        <f t="shared" si="1"/>
        <v>100</v>
      </c>
    </row>
    <row r="18" spans="1:12" customFormat="1" ht="18.75" customHeight="1" x14ac:dyDescent="0.25">
      <c r="A18" s="74">
        <v>1.7</v>
      </c>
      <c r="B18" s="29" t="s">
        <v>902</v>
      </c>
      <c r="C18" s="366" t="s">
        <v>46</v>
      </c>
      <c r="D18" s="174" t="s">
        <v>903</v>
      </c>
      <c r="E18" s="109">
        <v>10</v>
      </c>
      <c r="F18" s="109">
        <v>10</v>
      </c>
      <c r="G18" s="71">
        <f t="shared" si="0"/>
        <v>100</v>
      </c>
      <c r="H18" s="122">
        <v>14351</v>
      </c>
      <c r="I18" s="311">
        <v>14351</v>
      </c>
      <c r="J18" s="71">
        <f t="shared" si="1"/>
        <v>100</v>
      </c>
    </row>
    <row r="19" spans="1:12" customFormat="1" ht="18.75" customHeight="1" x14ac:dyDescent="0.25">
      <c r="A19" s="74">
        <v>1.8</v>
      </c>
      <c r="B19" s="29" t="s">
        <v>904</v>
      </c>
      <c r="C19" s="366" t="s">
        <v>46</v>
      </c>
      <c r="D19" s="174" t="s">
        <v>52</v>
      </c>
      <c r="E19" s="109">
        <v>4</v>
      </c>
      <c r="F19" s="109">
        <v>4</v>
      </c>
      <c r="G19" s="71">
        <f t="shared" si="0"/>
        <v>100</v>
      </c>
      <c r="H19" s="122">
        <v>15394</v>
      </c>
      <c r="I19" s="311">
        <v>15394</v>
      </c>
      <c r="J19" s="71">
        <f t="shared" si="1"/>
        <v>100</v>
      </c>
    </row>
    <row r="20" spans="1:12" customFormat="1" ht="25.5" customHeight="1" x14ac:dyDescent="0.25">
      <c r="A20" s="74">
        <v>1.9</v>
      </c>
      <c r="B20" s="29" t="s">
        <v>905</v>
      </c>
      <c r="C20" s="365" t="s">
        <v>46</v>
      </c>
      <c r="D20" s="77" t="s">
        <v>52</v>
      </c>
      <c r="E20" s="109">
        <v>4</v>
      </c>
      <c r="F20" s="109">
        <v>4</v>
      </c>
      <c r="G20" s="71">
        <f t="shared" si="0"/>
        <v>100</v>
      </c>
      <c r="H20" s="37">
        <v>38933</v>
      </c>
      <c r="I20" s="273">
        <v>38933</v>
      </c>
      <c r="J20" s="71">
        <f t="shared" si="1"/>
        <v>100</v>
      </c>
    </row>
    <row r="21" spans="1:12" customFormat="1" ht="18.75" customHeight="1" x14ac:dyDescent="0.25">
      <c r="A21" s="128">
        <v>1.1000000000000001</v>
      </c>
      <c r="B21" s="29" t="s">
        <v>906</v>
      </c>
      <c r="C21" s="366" t="s">
        <v>46</v>
      </c>
      <c r="D21" s="174" t="s">
        <v>52</v>
      </c>
      <c r="E21" s="110">
        <v>1</v>
      </c>
      <c r="F21" s="110">
        <v>1</v>
      </c>
      <c r="G21" s="71">
        <f t="shared" si="0"/>
        <v>100</v>
      </c>
      <c r="H21" s="122">
        <v>13200</v>
      </c>
      <c r="I21" s="311">
        <v>13200</v>
      </c>
      <c r="J21" s="71">
        <f t="shared" si="1"/>
        <v>100</v>
      </c>
    </row>
    <row r="22" spans="1:12" customFormat="1" ht="18.75" customHeight="1" x14ac:dyDescent="0.25">
      <c r="A22" s="74">
        <v>1.1100000000000001</v>
      </c>
      <c r="B22" s="29" t="s">
        <v>907</v>
      </c>
      <c r="C22" s="366" t="s">
        <v>46</v>
      </c>
      <c r="D22" s="174" t="s">
        <v>52</v>
      </c>
      <c r="E22" s="110">
        <v>1</v>
      </c>
      <c r="F22" s="110">
        <v>1</v>
      </c>
      <c r="G22" s="71">
        <f t="shared" si="0"/>
        <v>100</v>
      </c>
      <c r="H22" s="122">
        <v>7100</v>
      </c>
      <c r="I22" s="311">
        <v>7100</v>
      </c>
      <c r="J22" s="71">
        <f t="shared" si="1"/>
        <v>100</v>
      </c>
    </row>
    <row r="23" spans="1:12" customFormat="1" ht="18.75" customHeight="1" x14ac:dyDescent="0.25">
      <c r="A23" s="74">
        <v>1.1200000000000001</v>
      </c>
      <c r="B23" s="29" t="s">
        <v>908</v>
      </c>
      <c r="C23" s="366" t="s">
        <v>46</v>
      </c>
      <c r="D23" s="174" t="s">
        <v>52</v>
      </c>
      <c r="E23" s="110">
        <v>2</v>
      </c>
      <c r="F23" s="110">
        <v>2</v>
      </c>
      <c r="G23" s="71">
        <f t="shared" si="0"/>
        <v>100</v>
      </c>
      <c r="H23" s="122">
        <v>6350</v>
      </c>
      <c r="I23" s="311">
        <v>6350</v>
      </c>
      <c r="J23" s="71">
        <f t="shared" si="1"/>
        <v>100</v>
      </c>
    </row>
    <row r="24" spans="1:12" customFormat="1" ht="18.75" customHeight="1" x14ac:dyDescent="0.25">
      <c r="A24" s="74">
        <v>1.1299999999999999</v>
      </c>
      <c r="B24" s="29" t="s">
        <v>909</v>
      </c>
      <c r="C24" s="366" t="s">
        <v>46</v>
      </c>
      <c r="D24" s="174" t="s">
        <v>588</v>
      </c>
      <c r="E24" s="110">
        <v>4</v>
      </c>
      <c r="F24" s="110">
        <v>4</v>
      </c>
      <c r="G24" s="71">
        <f t="shared" si="0"/>
        <v>100</v>
      </c>
      <c r="H24" s="122">
        <v>11400</v>
      </c>
      <c r="I24" s="311">
        <v>11400</v>
      </c>
      <c r="J24" s="71">
        <f t="shared" si="1"/>
        <v>100</v>
      </c>
    </row>
    <row r="25" spans="1:12" customFormat="1" ht="18.75" customHeight="1" x14ac:dyDescent="0.25">
      <c r="A25" s="128">
        <v>1.1399999999999999</v>
      </c>
      <c r="B25" s="29" t="s">
        <v>910</v>
      </c>
      <c r="C25" s="366" t="s">
        <v>46</v>
      </c>
      <c r="D25" s="174" t="s">
        <v>52</v>
      </c>
      <c r="E25" s="110">
        <v>1</v>
      </c>
      <c r="F25" s="110">
        <v>1</v>
      </c>
      <c r="G25" s="71">
        <f t="shared" si="0"/>
        <v>100</v>
      </c>
      <c r="H25" s="122">
        <v>5000</v>
      </c>
      <c r="I25" s="311">
        <v>5000</v>
      </c>
      <c r="J25" s="71">
        <f t="shared" si="1"/>
        <v>100</v>
      </c>
    </row>
    <row r="26" spans="1:12" customFormat="1" ht="66.75" customHeight="1" x14ac:dyDescent="0.25">
      <c r="A26" s="74">
        <v>1.1499999999999999</v>
      </c>
      <c r="B26" s="29" t="s">
        <v>1953</v>
      </c>
      <c r="C26" s="366" t="s">
        <v>40</v>
      </c>
      <c r="D26" s="174" t="s">
        <v>755</v>
      </c>
      <c r="E26" s="28">
        <v>8</v>
      </c>
      <c r="F26" s="28">
        <v>8</v>
      </c>
      <c r="G26" s="71">
        <f t="shared" si="0"/>
        <v>100</v>
      </c>
      <c r="H26" s="122">
        <v>24528</v>
      </c>
      <c r="I26" s="311">
        <v>24528</v>
      </c>
      <c r="J26" s="71">
        <f t="shared" si="1"/>
        <v>100</v>
      </c>
    </row>
    <row r="27" spans="1:12" customFormat="1" ht="18.75" customHeight="1" x14ac:dyDescent="0.25">
      <c r="A27" s="128">
        <v>1.1599999999999999</v>
      </c>
      <c r="B27" s="29" t="s">
        <v>911</v>
      </c>
      <c r="C27" s="366" t="s">
        <v>46</v>
      </c>
      <c r="D27" s="174" t="s">
        <v>52</v>
      </c>
      <c r="E27" s="110">
        <v>2</v>
      </c>
      <c r="F27" s="110">
        <v>2</v>
      </c>
      <c r="G27" s="71">
        <f t="shared" si="0"/>
        <v>100</v>
      </c>
      <c r="H27" s="122">
        <v>2700</v>
      </c>
      <c r="I27" s="311">
        <v>2700</v>
      </c>
      <c r="J27" s="71">
        <f t="shared" si="1"/>
        <v>100</v>
      </c>
    </row>
    <row r="28" spans="1:12" customFormat="1" ht="18.75" customHeight="1" x14ac:dyDescent="0.25">
      <c r="A28" s="70">
        <v>2</v>
      </c>
      <c r="B28" s="26" t="s">
        <v>912</v>
      </c>
      <c r="C28" s="366" t="s">
        <v>46</v>
      </c>
      <c r="D28" s="174" t="s">
        <v>52</v>
      </c>
      <c r="E28" s="114">
        <v>1</v>
      </c>
      <c r="F28" s="114">
        <v>1</v>
      </c>
      <c r="G28" s="387">
        <f t="shared" si="0"/>
        <v>100</v>
      </c>
      <c r="H28" s="123">
        <v>105514</v>
      </c>
      <c r="I28" s="288">
        <v>105514</v>
      </c>
      <c r="J28" s="387">
        <f t="shared" si="1"/>
        <v>100</v>
      </c>
    </row>
    <row r="29" spans="1:12" customFormat="1" ht="25.5" customHeight="1" x14ac:dyDescent="0.25">
      <c r="A29" s="70">
        <v>3</v>
      </c>
      <c r="B29" s="26" t="s">
        <v>913</v>
      </c>
      <c r="C29" s="366" t="s">
        <v>46</v>
      </c>
      <c r="D29" s="174" t="s">
        <v>52</v>
      </c>
      <c r="E29" s="114">
        <v>4</v>
      </c>
      <c r="F29" s="114">
        <v>4</v>
      </c>
      <c r="G29" s="387">
        <f t="shared" si="0"/>
        <v>100</v>
      </c>
      <c r="H29" s="123">
        <v>103180</v>
      </c>
      <c r="I29" s="288">
        <v>103180</v>
      </c>
      <c r="J29" s="387">
        <f t="shared" si="1"/>
        <v>100</v>
      </c>
    </row>
    <row r="30" spans="1:12" customFormat="1" ht="18.75" customHeight="1" x14ac:dyDescent="0.25">
      <c r="A30" s="70">
        <v>4</v>
      </c>
      <c r="B30" s="26" t="s">
        <v>914</v>
      </c>
      <c r="C30" s="366" t="s">
        <v>40</v>
      </c>
      <c r="D30" s="174" t="s">
        <v>52</v>
      </c>
      <c r="E30" s="114">
        <v>2</v>
      </c>
      <c r="F30" s="114">
        <v>2</v>
      </c>
      <c r="G30" s="387">
        <f t="shared" si="0"/>
        <v>100</v>
      </c>
      <c r="H30" s="123">
        <v>34824</v>
      </c>
      <c r="I30" s="395">
        <v>34824</v>
      </c>
      <c r="J30" s="387">
        <f t="shared" si="1"/>
        <v>100</v>
      </c>
    </row>
    <row r="31" spans="1:12" customFormat="1" ht="26.25" customHeight="1" x14ac:dyDescent="0.25">
      <c r="A31" s="265"/>
      <c r="B31" s="86" t="s">
        <v>1958</v>
      </c>
      <c r="C31" s="175"/>
      <c r="D31" s="380"/>
      <c r="E31" s="869"/>
      <c r="F31" s="870"/>
      <c r="G31" s="871"/>
      <c r="H31" s="121">
        <f>+H32+H36+H38+H40+H42+H45+H48+H50+H52+H55+H56+H57+H58+H62+H64+H66+H71+H76</f>
        <v>278122</v>
      </c>
      <c r="I31" s="305">
        <f>+I32+I36+I38+I40+I42+I45+I48+I50+I52+I55+I56+I57+I58+I62+I64+I66+I71+I76</f>
        <v>278074</v>
      </c>
      <c r="J31" s="392">
        <f t="shared" si="1"/>
        <v>99.982741386873386</v>
      </c>
      <c r="L31" s="85"/>
    </row>
    <row r="32" spans="1:12" customFormat="1" ht="18.75" customHeight="1" x14ac:dyDescent="0.25">
      <c r="A32" s="267" t="s">
        <v>915</v>
      </c>
      <c r="B32" s="26" t="s">
        <v>1415</v>
      </c>
      <c r="C32" s="366"/>
      <c r="D32" s="10"/>
      <c r="E32" s="110"/>
      <c r="F32" s="864"/>
      <c r="G32" s="864"/>
      <c r="H32" s="126">
        <f>SUM(H33:H35)</f>
        <v>15473</v>
      </c>
      <c r="I32" s="394">
        <f>SUM(I33:I35)</f>
        <v>15425</v>
      </c>
      <c r="J32" s="387">
        <f t="shared" si="1"/>
        <v>99.689782201253792</v>
      </c>
    </row>
    <row r="33" spans="1:10" customFormat="1" ht="18.75" customHeight="1" x14ac:dyDescent="0.25">
      <c r="A33" s="1116" t="s">
        <v>1416</v>
      </c>
      <c r="B33" s="1114" t="s">
        <v>1420</v>
      </c>
      <c r="C33" s="366" t="s">
        <v>40</v>
      </c>
      <c r="D33" s="365" t="s">
        <v>1417</v>
      </c>
      <c r="E33" s="110">
        <v>2</v>
      </c>
      <c r="F33" s="31">
        <v>0</v>
      </c>
      <c r="G33" s="71">
        <f t="shared" ref="G33:G80" si="2">+F33/E33*100</f>
        <v>0</v>
      </c>
      <c r="H33" s="323">
        <v>5157</v>
      </c>
      <c r="I33" s="142">
        <v>0</v>
      </c>
      <c r="J33" s="71">
        <f t="shared" si="1"/>
        <v>0</v>
      </c>
    </row>
    <row r="34" spans="1:10" customFormat="1" ht="18.75" customHeight="1" x14ac:dyDescent="0.25">
      <c r="A34" s="1117"/>
      <c r="B34" s="1115"/>
      <c r="C34" s="366" t="s">
        <v>40</v>
      </c>
      <c r="D34" s="365" t="s">
        <v>664</v>
      </c>
      <c r="E34" s="110">
        <v>2</v>
      </c>
      <c r="F34" s="110">
        <v>2</v>
      </c>
      <c r="G34" s="71">
        <f t="shared" si="2"/>
        <v>100</v>
      </c>
      <c r="H34" s="323">
        <v>5158</v>
      </c>
      <c r="I34" s="142">
        <f>15473-48</f>
        <v>15425</v>
      </c>
      <c r="J34" s="387">
        <f t="shared" si="1"/>
        <v>299.05001938735944</v>
      </c>
    </row>
    <row r="35" spans="1:10" customFormat="1" ht="18.75" customHeight="1" x14ac:dyDescent="0.25">
      <c r="A35" s="268" t="s">
        <v>1418</v>
      </c>
      <c r="B35" s="29" t="s">
        <v>1419</v>
      </c>
      <c r="C35" s="365" t="s">
        <v>40</v>
      </c>
      <c r="D35" s="160" t="s">
        <v>90</v>
      </c>
      <c r="E35" s="110">
        <v>2</v>
      </c>
      <c r="F35" s="110">
        <v>0</v>
      </c>
      <c r="G35" s="71">
        <f t="shared" si="2"/>
        <v>0</v>
      </c>
      <c r="H35" s="323">
        <v>5158</v>
      </c>
      <c r="I35" s="142">
        <v>0</v>
      </c>
      <c r="J35" s="387">
        <f t="shared" si="1"/>
        <v>0</v>
      </c>
    </row>
    <row r="36" spans="1:10" customFormat="1" ht="18.75" customHeight="1" x14ac:dyDescent="0.25">
      <c r="A36" s="267" t="s">
        <v>1421</v>
      </c>
      <c r="B36" s="26" t="s">
        <v>1422</v>
      </c>
      <c r="C36" s="365"/>
      <c r="D36" s="266"/>
      <c r="E36" s="110"/>
      <c r="F36" s="864"/>
      <c r="G36" s="71"/>
      <c r="H36" s="126">
        <f>+H37</f>
        <v>14272</v>
      </c>
      <c r="I36" s="394">
        <f>+I37</f>
        <v>14272</v>
      </c>
      <c r="J36" s="387">
        <f t="shared" si="1"/>
        <v>100</v>
      </c>
    </row>
    <row r="37" spans="1:10" customFormat="1" ht="18.75" customHeight="1" x14ac:dyDescent="0.25">
      <c r="A37" s="120" t="s">
        <v>1424</v>
      </c>
      <c r="B37" s="29" t="s">
        <v>917</v>
      </c>
      <c r="C37" s="366" t="s">
        <v>40</v>
      </c>
      <c r="D37" s="77" t="s">
        <v>536</v>
      </c>
      <c r="E37" s="111">
        <v>12</v>
      </c>
      <c r="F37" s="31">
        <v>12</v>
      </c>
      <c r="G37" s="71">
        <f t="shared" si="2"/>
        <v>100</v>
      </c>
      <c r="H37" s="845">
        <v>14272</v>
      </c>
      <c r="I37" s="847">
        <v>14272</v>
      </c>
      <c r="J37" s="71">
        <f t="shared" si="1"/>
        <v>100</v>
      </c>
    </row>
    <row r="38" spans="1:10" customFormat="1" ht="18.75" customHeight="1" x14ac:dyDescent="0.25">
      <c r="A38" s="120"/>
      <c r="B38" s="26" t="s">
        <v>1423</v>
      </c>
      <c r="C38" s="366"/>
      <c r="D38" s="77"/>
      <c r="E38" s="111"/>
      <c r="F38" s="31"/>
      <c r="G38" s="71"/>
      <c r="H38" s="24">
        <f>+H39</f>
        <v>14274</v>
      </c>
      <c r="I38" s="318">
        <f>+I39</f>
        <v>14274</v>
      </c>
      <c r="J38" s="387">
        <f t="shared" si="1"/>
        <v>100</v>
      </c>
    </row>
    <row r="39" spans="1:10" customFormat="1" ht="18.75" customHeight="1" x14ac:dyDescent="0.25">
      <c r="A39" s="120" t="s">
        <v>1425</v>
      </c>
      <c r="B39" s="29" t="s">
        <v>918</v>
      </c>
      <c r="C39" s="366" t="s">
        <v>40</v>
      </c>
      <c r="D39" s="77" t="s">
        <v>467</v>
      </c>
      <c r="E39" s="111">
        <v>1</v>
      </c>
      <c r="F39" s="31">
        <v>1</v>
      </c>
      <c r="G39" s="71">
        <f t="shared" si="2"/>
        <v>100</v>
      </c>
      <c r="H39" s="845">
        <v>14274</v>
      </c>
      <c r="I39" s="847">
        <v>14274</v>
      </c>
      <c r="J39" s="71">
        <f t="shared" si="1"/>
        <v>100</v>
      </c>
    </row>
    <row r="40" spans="1:10" customFormat="1" ht="18.75" customHeight="1" x14ac:dyDescent="0.25">
      <c r="A40" s="94" t="s">
        <v>1426</v>
      </c>
      <c r="B40" s="26" t="s">
        <v>919</v>
      </c>
      <c r="C40" s="366" t="s">
        <v>40</v>
      </c>
      <c r="D40" s="77" t="s">
        <v>467</v>
      </c>
      <c r="E40" s="110">
        <v>1</v>
      </c>
      <c r="F40" s="31">
        <v>1</v>
      </c>
      <c r="G40" s="71">
        <f t="shared" si="2"/>
        <v>100</v>
      </c>
      <c r="H40" s="24">
        <f>+H41</f>
        <v>14274</v>
      </c>
      <c r="I40" s="318">
        <f>+I41</f>
        <v>14274</v>
      </c>
      <c r="J40" s="387">
        <f t="shared" si="1"/>
        <v>100</v>
      </c>
    </row>
    <row r="41" spans="1:10" customFormat="1" ht="18.75" customHeight="1" x14ac:dyDescent="0.25">
      <c r="A41" s="95" t="s">
        <v>1427</v>
      </c>
      <c r="B41" s="29" t="s">
        <v>920</v>
      </c>
      <c r="C41" s="366" t="s">
        <v>40</v>
      </c>
      <c r="D41" s="77" t="s">
        <v>90</v>
      </c>
      <c r="E41" s="110">
        <v>6</v>
      </c>
      <c r="F41" s="31">
        <v>2</v>
      </c>
      <c r="G41" s="71">
        <f t="shared" si="2"/>
        <v>33.333333333333329</v>
      </c>
      <c r="H41" s="16">
        <v>14274</v>
      </c>
      <c r="I41" s="83">
        <v>14274</v>
      </c>
      <c r="J41" s="71">
        <f t="shared" si="1"/>
        <v>100</v>
      </c>
    </row>
    <row r="42" spans="1:10" customFormat="1" ht="25.5" customHeight="1" x14ac:dyDescent="0.25">
      <c r="A42" s="96">
        <v>4</v>
      </c>
      <c r="B42" s="72" t="s">
        <v>921</v>
      </c>
      <c r="C42" s="156" t="s">
        <v>40</v>
      </c>
      <c r="D42" s="156" t="s">
        <v>248</v>
      </c>
      <c r="E42" s="34">
        <v>1</v>
      </c>
      <c r="F42" s="28">
        <v>1</v>
      </c>
      <c r="G42" s="71">
        <f t="shared" si="2"/>
        <v>100</v>
      </c>
      <c r="H42" s="24">
        <v>14174</v>
      </c>
      <c r="I42" s="318">
        <v>14174</v>
      </c>
      <c r="J42" s="387">
        <f t="shared" si="1"/>
        <v>100</v>
      </c>
    </row>
    <row r="43" spans="1:10" customFormat="1" ht="18.75" customHeight="1" x14ac:dyDescent="0.25">
      <c r="A43" s="49">
        <v>4.0999999999999996</v>
      </c>
      <c r="B43" s="29" t="s">
        <v>922</v>
      </c>
      <c r="C43" s="366" t="s">
        <v>40</v>
      </c>
      <c r="D43" s="177" t="s">
        <v>923</v>
      </c>
      <c r="E43" s="112">
        <v>1</v>
      </c>
      <c r="F43" s="389">
        <v>1</v>
      </c>
      <c r="G43" s="71">
        <f t="shared" si="2"/>
        <v>100</v>
      </c>
      <c r="H43" s="323">
        <v>4824</v>
      </c>
      <c r="I43" s="142">
        <v>4824</v>
      </c>
      <c r="J43" s="71">
        <f t="shared" si="1"/>
        <v>100</v>
      </c>
    </row>
    <row r="44" spans="1:10" customFormat="1" ht="18.75" customHeight="1" x14ac:dyDescent="0.25">
      <c r="A44" s="49">
        <v>4.2</v>
      </c>
      <c r="B44" s="97" t="s">
        <v>924</v>
      </c>
      <c r="C44" s="366" t="s">
        <v>40</v>
      </c>
      <c r="D44" s="157" t="s">
        <v>253</v>
      </c>
      <c r="E44" s="113" t="s">
        <v>915</v>
      </c>
      <c r="F44" s="73">
        <v>1</v>
      </c>
      <c r="G44" s="71">
        <f t="shared" si="2"/>
        <v>100</v>
      </c>
      <c r="H44" s="323">
        <v>4724</v>
      </c>
      <c r="I44" s="142">
        <v>4724</v>
      </c>
      <c r="J44" s="71">
        <f t="shared" si="1"/>
        <v>100</v>
      </c>
    </row>
    <row r="45" spans="1:10" customFormat="1" ht="18.75" customHeight="1" x14ac:dyDescent="0.25">
      <c r="A45" s="96">
        <v>5</v>
      </c>
      <c r="B45" s="56" t="s">
        <v>925</v>
      </c>
      <c r="C45" s="156" t="s">
        <v>40</v>
      </c>
      <c r="D45" s="177" t="s">
        <v>248</v>
      </c>
      <c r="E45" s="28">
        <v>1</v>
      </c>
      <c r="F45" s="389">
        <v>0</v>
      </c>
      <c r="G45" s="71">
        <f t="shared" si="2"/>
        <v>0</v>
      </c>
      <c r="H45" s="24">
        <f>SUM(H46:H47)</f>
        <v>14174</v>
      </c>
      <c r="I45" s="318">
        <f>SUM(I46:I47)</f>
        <v>14174</v>
      </c>
      <c r="J45" s="387">
        <f t="shared" si="1"/>
        <v>100</v>
      </c>
    </row>
    <row r="46" spans="1:10" customFormat="1" ht="18.75" customHeight="1" x14ac:dyDescent="0.25">
      <c r="A46" s="49">
        <v>5.0999999999999996</v>
      </c>
      <c r="B46" s="29" t="s">
        <v>922</v>
      </c>
      <c r="C46" s="366" t="s">
        <v>40</v>
      </c>
      <c r="D46" s="177" t="s">
        <v>248</v>
      </c>
      <c r="E46" s="112">
        <v>1</v>
      </c>
      <c r="F46" s="389">
        <v>1</v>
      </c>
      <c r="G46" s="71">
        <f t="shared" si="2"/>
        <v>100</v>
      </c>
      <c r="H46" s="323">
        <v>14174</v>
      </c>
      <c r="I46" s="301">
        <v>14174</v>
      </c>
      <c r="J46" s="71">
        <f t="shared" si="1"/>
        <v>100</v>
      </c>
    </row>
    <row r="47" spans="1:10" customFormat="1" ht="18.75" customHeight="1" x14ac:dyDescent="0.25">
      <c r="A47" s="49">
        <v>5.2</v>
      </c>
      <c r="B47" s="97" t="s">
        <v>924</v>
      </c>
      <c r="C47" s="366" t="s">
        <v>40</v>
      </c>
      <c r="D47" s="177" t="s">
        <v>253</v>
      </c>
      <c r="E47" s="113" t="s">
        <v>915</v>
      </c>
      <c r="F47" s="389">
        <v>0</v>
      </c>
      <c r="G47" s="71">
        <f t="shared" si="2"/>
        <v>0</v>
      </c>
      <c r="H47" s="323">
        <v>0</v>
      </c>
      <c r="I47" s="301">
        <v>0</v>
      </c>
      <c r="J47" s="71">
        <v>0</v>
      </c>
    </row>
    <row r="48" spans="1:10" customFormat="1" ht="18.75" customHeight="1" x14ac:dyDescent="0.25">
      <c r="A48" s="98" t="s">
        <v>966</v>
      </c>
      <c r="B48" s="99" t="s">
        <v>926</v>
      </c>
      <c r="C48" s="386" t="s">
        <v>40</v>
      </c>
      <c r="D48" s="78" t="s">
        <v>248</v>
      </c>
      <c r="E48" s="110">
        <v>1</v>
      </c>
      <c r="F48" s="21">
        <v>1</v>
      </c>
      <c r="G48" s="71">
        <f t="shared" si="2"/>
        <v>100</v>
      </c>
      <c r="H48" s="24">
        <f>+H49</f>
        <v>14274</v>
      </c>
      <c r="I48" s="318">
        <f>+I49</f>
        <v>14274</v>
      </c>
      <c r="J48" s="387">
        <f t="shared" si="1"/>
        <v>100</v>
      </c>
    </row>
    <row r="49" spans="1:10" customFormat="1" ht="18.75" customHeight="1" x14ac:dyDescent="0.25">
      <c r="A49" s="100" t="s">
        <v>967</v>
      </c>
      <c r="B49" s="97" t="s">
        <v>924</v>
      </c>
      <c r="C49" s="366" t="s">
        <v>40</v>
      </c>
      <c r="D49" s="156" t="s">
        <v>521</v>
      </c>
      <c r="E49" s="112">
        <v>1</v>
      </c>
      <c r="F49" s="28">
        <v>1</v>
      </c>
      <c r="G49" s="71">
        <f t="shared" si="2"/>
        <v>100</v>
      </c>
      <c r="H49" s="16">
        <v>14274</v>
      </c>
      <c r="I49" s="42">
        <v>14274</v>
      </c>
      <c r="J49" s="71">
        <f t="shared" si="1"/>
        <v>100</v>
      </c>
    </row>
    <row r="50" spans="1:10" customFormat="1" ht="18.75" customHeight="1" x14ac:dyDescent="0.25">
      <c r="A50" s="27">
        <v>7</v>
      </c>
      <c r="B50" s="56" t="s">
        <v>927</v>
      </c>
      <c r="C50" s="386" t="s">
        <v>40</v>
      </c>
      <c r="D50" s="156" t="s">
        <v>248</v>
      </c>
      <c r="E50" s="28">
        <v>1</v>
      </c>
      <c r="F50" s="28">
        <v>0</v>
      </c>
      <c r="G50" s="71">
        <f t="shared" si="2"/>
        <v>0</v>
      </c>
      <c r="H50" s="24">
        <f>+H51</f>
        <v>0</v>
      </c>
      <c r="I50" s="318">
        <f>+I51</f>
        <v>0</v>
      </c>
      <c r="J50" s="387">
        <v>0</v>
      </c>
    </row>
    <row r="51" spans="1:10" customFormat="1" ht="18.75" customHeight="1" x14ac:dyDescent="0.25">
      <c r="A51" s="49">
        <v>7.1</v>
      </c>
      <c r="B51" s="30" t="s">
        <v>928</v>
      </c>
      <c r="C51" s="366" t="s">
        <v>40</v>
      </c>
      <c r="D51" s="177" t="s">
        <v>253</v>
      </c>
      <c r="E51" s="73">
        <v>1</v>
      </c>
      <c r="F51" s="389">
        <v>0</v>
      </c>
      <c r="G51" s="71">
        <f t="shared" si="2"/>
        <v>0</v>
      </c>
      <c r="H51" s="16">
        <v>0</v>
      </c>
      <c r="I51" s="42">
        <v>0</v>
      </c>
      <c r="J51" s="387">
        <v>0</v>
      </c>
    </row>
    <row r="52" spans="1:10" customFormat="1" ht="18.75" customHeight="1" x14ac:dyDescent="0.25">
      <c r="A52" s="27">
        <v>8</v>
      </c>
      <c r="B52" s="72" t="s">
        <v>929</v>
      </c>
      <c r="C52" s="366" t="s">
        <v>40</v>
      </c>
      <c r="D52" s="157"/>
      <c r="E52" s="73"/>
      <c r="F52" s="73"/>
      <c r="G52" s="71"/>
      <c r="H52" s="24">
        <f>SUM(H53:H54)</f>
        <v>14274</v>
      </c>
      <c r="I52" s="318">
        <f>SUM(I53:I54)</f>
        <v>14274</v>
      </c>
      <c r="J52" s="387">
        <f t="shared" si="1"/>
        <v>100</v>
      </c>
    </row>
    <row r="53" spans="1:10" customFormat="1" ht="25.5" customHeight="1" x14ac:dyDescent="0.25">
      <c r="A53" s="49">
        <v>8.1</v>
      </c>
      <c r="B53" s="29" t="s">
        <v>930</v>
      </c>
      <c r="C53" s="366" t="s">
        <v>40</v>
      </c>
      <c r="D53" s="156" t="s">
        <v>220</v>
      </c>
      <c r="E53" s="28">
        <v>12</v>
      </c>
      <c r="F53" s="28">
        <v>12</v>
      </c>
      <c r="G53" s="71">
        <f t="shared" si="2"/>
        <v>100</v>
      </c>
      <c r="H53" s="111">
        <v>7087</v>
      </c>
      <c r="I53" s="361">
        <v>7087</v>
      </c>
      <c r="J53" s="71">
        <f t="shared" si="1"/>
        <v>100</v>
      </c>
    </row>
    <row r="54" spans="1:10" customFormat="1" ht="18.75" customHeight="1" x14ac:dyDescent="0.25">
      <c r="A54" s="49">
        <v>8.1999999999999993</v>
      </c>
      <c r="B54" s="29" t="s">
        <v>931</v>
      </c>
      <c r="C54" s="366" t="s">
        <v>40</v>
      </c>
      <c r="D54" s="156" t="s">
        <v>932</v>
      </c>
      <c r="E54" s="28">
        <v>12</v>
      </c>
      <c r="F54" s="28">
        <v>12</v>
      </c>
      <c r="G54" s="71">
        <f t="shared" si="2"/>
        <v>100</v>
      </c>
      <c r="H54" s="111">
        <v>7187</v>
      </c>
      <c r="I54" s="361">
        <v>7187</v>
      </c>
      <c r="J54" s="71">
        <f t="shared" si="1"/>
        <v>100</v>
      </c>
    </row>
    <row r="55" spans="1:10" customFormat="1" ht="18.75" customHeight="1" x14ac:dyDescent="0.25">
      <c r="A55" s="98" t="s">
        <v>968</v>
      </c>
      <c r="B55" s="101" t="s">
        <v>1952</v>
      </c>
      <c r="C55" s="366" t="s">
        <v>40</v>
      </c>
      <c r="D55" s="167" t="s">
        <v>504</v>
      </c>
      <c r="E55" s="112">
        <v>1</v>
      </c>
      <c r="F55" s="112">
        <v>1</v>
      </c>
      <c r="G55" s="71">
        <f t="shared" si="2"/>
        <v>100</v>
      </c>
      <c r="H55" s="24">
        <v>14174</v>
      </c>
      <c r="I55" s="318">
        <v>14174</v>
      </c>
      <c r="J55" s="387">
        <f t="shared" si="1"/>
        <v>100</v>
      </c>
    </row>
    <row r="56" spans="1:10" customFormat="1" ht="18.75" customHeight="1" x14ac:dyDescent="0.25">
      <c r="A56" s="98" t="s">
        <v>1428</v>
      </c>
      <c r="B56" s="99" t="s">
        <v>933</v>
      </c>
      <c r="C56" s="366" t="s">
        <v>40</v>
      </c>
      <c r="D56" s="178" t="s">
        <v>934</v>
      </c>
      <c r="E56" s="113" t="s">
        <v>916</v>
      </c>
      <c r="F56" s="113" t="s">
        <v>916</v>
      </c>
      <c r="G56" s="71">
        <f t="shared" si="2"/>
        <v>100</v>
      </c>
      <c r="H56" s="24">
        <v>28348</v>
      </c>
      <c r="I56" s="318">
        <v>28348</v>
      </c>
      <c r="J56" s="387">
        <f t="shared" si="1"/>
        <v>100</v>
      </c>
    </row>
    <row r="57" spans="1:10" customFormat="1" ht="18.75" customHeight="1" x14ac:dyDescent="0.25">
      <c r="A57" s="263">
        <v>11</v>
      </c>
      <c r="B57" s="388" t="s">
        <v>935</v>
      </c>
      <c r="C57" s="366" t="s">
        <v>40</v>
      </c>
      <c r="D57" s="156" t="s">
        <v>467</v>
      </c>
      <c r="E57" s="112">
        <v>1</v>
      </c>
      <c r="F57" s="28">
        <v>1</v>
      </c>
      <c r="G57" s="71">
        <f t="shared" si="2"/>
        <v>100</v>
      </c>
      <c r="H57" s="24">
        <v>14174</v>
      </c>
      <c r="I57" s="318">
        <v>14174</v>
      </c>
      <c r="J57" s="387">
        <f t="shared" si="1"/>
        <v>100</v>
      </c>
    </row>
    <row r="58" spans="1:10" customFormat="1" ht="18.75" customHeight="1" x14ac:dyDescent="0.25">
      <c r="A58" s="27">
        <v>12</v>
      </c>
      <c r="B58" s="72" t="s">
        <v>936</v>
      </c>
      <c r="C58" s="366" t="s">
        <v>40</v>
      </c>
      <c r="D58" s="158"/>
      <c r="E58" s="115"/>
      <c r="F58" s="115"/>
      <c r="G58" s="71"/>
      <c r="H58" s="24">
        <f>SUM(H59:H61)</f>
        <v>14275</v>
      </c>
      <c r="I58" s="318">
        <f>SUM(I59:I61)</f>
        <v>14275</v>
      </c>
      <c r="J58" s="387">
        <f t="shared" si="1"/>
        <v>100</v>
      </c>
    </row>
    <row r="59" spans="1:10" customFormat="1" ht="25.5" customHeight="1" x14ac:dyDescent="0.25">
      <c r="A59" s="100" t="s">
        <v>1429</v>
      </c>
      <c r="B59" s="48" t="s">
        <v>937</v>
      </c>
      <c r="C59" s="366" t="s">
        <v>40</v>
      </c>
      <c r="D59" s="167" t="s">
        <v>938</v>
      </c>
      <c r="E59" s="112">
        <v>1</v>
      </c>
      <c r="F59" s="112">
        <v>1</v>
      </c>
      <c r="G59" s="71">
        <f t="shared" si="2"/>
        <v>100</v>
      </c>
      <c r="H59" s="111">
        <v>4825</v>
      </c>
      <c r="I59" s="361">
        <v>4825</v>
      </c>
      <c r="J59" s="71">
        <f t="shared" si="1"/>
        <v>100</v>
      </c>
    </row>
    <row r="60" spans="1:10" customFormat="1" ht="25.5" customHeight="1" x14ac:dyDescent="0.25">
      <c r="A60" s="100" t="s">
        <v>1430</v>
      </c>
      <c r="B60" s="48" t="s">
        <v>939</v>
      </c>
      <c r="C60" s="366" t="s">
        <v>40</v>
      </c>
      <c r="D60" s="167" t="s">
        <v>940</v>
      </c>
      <c r="E60" s="112">
        <v>1</v>
      </c>
      <c r="F60" s="112">
        <v>1</v>
      </c>
      <c r="G60" s="71">
        <f t="shared" si="2"/>
        <v>100</v>
      </c>
      <c r="H60" s="111">
        <v>4725</v>
      </c>
      <c r="I60" s="361">
        <v>4725</v>
      </c>
      <c r="J60" s="71">
        <f t="shared" si="1"/>
        <v>100</v>
      </c>
    </row>
    <row r="61" spans="1:10" customFormat="1" ht="25.5" customHeight="1" x14ac:dyDescent="0.25">
      <c r="A61" s="102">
        <v>12.3</v>
      </c>
      <c r="B61" s="48" t="s">
        <v>941</v>
      </c>
      <c r="C61" s="366" t="s">
        <v>40</v>
      </c>
      <c r="D61" s="167" t="s">
        <v>942</v>
      </c>
      <c r="E61" s="112">
        <v>1</v>
      </c>
      <c r="F61" s="112">
        <v>1</v>
      </c>
      <c r="G61" s="71">
        <f t="shared" si="2"/>
        <v>100</v>
      </c>
      <c r="H61" s="111">
        <v>4725</v>
      </c>
      <c r="I61" s="361">
        <v>4725</v>
      </c>
      <c r="J61" s="71">
        <f t="shared" si="1"/>
        <v>100</v>
      </c>
    </row>
    <row r="62" spans="1:10" customFormat="1" ht="25.5" customHeight="1" x14ac:dyDescent="0.25">
      <c r="A62" s="27">
        <v>13</v>
      </c>
      <c r="B62" s="56" t="s">
        <v>943</v>
      </c>
      <c r="C62" s="366" t="s">
        <v>40</v>
      </c>
      <c r="D62" s="157"/>
      <c r="E62" s="73"/>
      <c r="F62" s="73"/>
      <c r="G62" s="71"/>
      <c r="H62" s="24">
        <f>+H63</f>
        <v>14174</v>
      </c>
      <c r="I62" s="318">
        <f>+I63</f>
        <v>14174</v>
      </c>
      <c r="J62" s="387">
        <f t="shared" si="1"/>
        <v>100</v>
      </c>
    </row>
    <row r="63" spans="1:10" customFormat="1" ht="25.5" customHeight="1" x14ac:dyDescent="0.25">
      <c r="A63" s="100" t="s">
        <v>1431</v>
      </c>
      <c r="B63" s="48" t="s">
        <v>944</v>
      </c>
      <c r="C63" s="366" t="s">
        <v>40</v>
      </c>
      <c r="D63" s="167" t="s">
        <v>942</v>
      </c>
      <c r="E63" s="112">
        <v>2</v>
      </c>
      <c r="F63" s="112">
        <v>2</v>
      </c>
      <c r="G63" s="71">
        <f t="shared" si="2"/>
        <v>100</v>
      </c>
      <c r="H63" s="111">
        <v>14174</v>
      </c>
      <c r="I63" s="361">
        <v>14174</v>
      </c>
      <c r="J63" s="71">
        <f t="shared" si="1"/>
        <v>100</v>
      </c>
    </row>
    <row r="64" spans="1:10" customFormat="1" ht="21.75" customHeight="1" x14ac:dyDescent="0.25">
      <c r="A64" s="98" t="s">
        <v>1432</v>
      </c>
      <c r="B64" s="103" t="s">
        <v>1959</v>
      </c>
      <c r="C64" s="366" t="s">
        <v>40</v>
      </c>
      <c r="D64" s="156"/>
      <c r="E64" s="28"/>
      <c r="F64" s="28"/>
      <c r="G64" s="71"/>
      <c r="H64" s="24">
        <f>SUM(H65:H65)</f>
        <v>14174</v>
      </c>
      <c r="I64" s="318">
        <f>SUM(I65:I65)</f>
        <v>14174</v>
      </c>
      <c r="J64" s="387">
        <f t="shared" si="1"/>
        <v>100</v>
      </c>
    </row>
    <row r="65" spans="1:10" customFormat="1" ht="25.5" customHeight="1" x14ac:dyDescent="0.25">
      <c r="A65" s="100" t="s">
        <v>1433</v>
      </c>
      <c r="B65" s="48" t="s">
        <v>1960</v>
      </c>
      <c r="C65" s="366" t="s">
        <v>40</v>
      </c>
      <c r="D65" s="167" t="s">
        <v>946</v>
      </c>
      <c r="E65" s="112">
        <v>2</v>
      </c>
      <c r="F65" s="112">
        <v>2</v>
      </c>
      <c r="G65" s="71">
        <f t="shared" si="2"/>
        <v>100</v>
      </c>
      <c r="H65" s="111">
        <v>14174</v>
      </c>
      <c r="I65" s="361">
        <v>14174</v>
      </c>
      <c r="J65" s="71">
        <f t="shared" si="1"/>
        <v>100</v>
      </c>
    </row>
    <row r="66" spans="1:10" customFormat="1" ht="18.75" customHeight="1" x14ac:dyDescent="0.25">
      <c r="A66" s="98" t="s">
        <v>1434</v>
      </c>
      <c r="B66" s="51" t="s">
        <v>948</v>
      </c>
      <c r="C66" s="386" t="s">
        <v>40</v>
      </c>
      <c r="D66" s="179" t="s">
        <v>220</v>
      </c>
      <c r="E66" s="116">
        <v>1</v>
      </c>
      <c r="F66" s="116"/>
      <c r="G66" s="71">
        <f t="shared" si="2"/>
        <v>0</v>
      </c>
      <c r="H66" s="24">
        <f>SUM(H67:H70)</f>
        <v>14776</v>
      </c>
      <c r="I66" s="318">
        <f>SUM(I67:I70)</f>
        <v>14776</v>
      </c>
      <c r="J66" s="387">
        <f t="shared" si="1"/>
        <v>100</v>
      </c>
    </row>
    <row r="67" spans="1:10" customFormat="1" ht="18.75" customHeight="1" x14ac:dyDescent="0.25">
      <c r="A67" s="100" t="s">
        <v>945</v>
      </c>
      <c r="B67" s="47" t="s">
        <v>950</v>
      </c>
      <c r="C67" s="366" t="s">
        <v>40</v>
      </c>
      <c r="D67" s="167" t="s">
        <v>467</v>
      </c>
      <c r="E67" s="112">
        <v>1</v>
      </c>
      <c r="F67" s="112">
        <v>0</v>
      </c>
      <c r="G67" s="71">
        <f t="shared" si="2"/>
        <v>0</v>
      </c>
      <c r="H67" s="111">
        <v>3944</v>
      </c>
      <c r="I67" s="361">
        <v>3944</v>
      </c>
      <c r="J67" s="71">
        <f t="shared" si="1"/>
        <v>100</v>
      </c>
    </row>
    <row r="68" spans="1:10" customFormat="1" ht="18.75" customHeight="1" x14ac:dyDescent="0.25">
      <c r="A68" s="100" t="s">
        <v>947</v>
      </c>
      <c r="B68" s="47" t="s">
        <v>951</v>
      </c>
      <c r="C68" s="366" t="s">
        <v>40</v>
      </c>
      <c r="D68" s="167" t="s">
        <v>467</v>
      </c>
      <c r="E68" s="112">
        <v>1</v>
      </c>
      <c r="F68" s="112">
        <v>0</v>
      </c>
      <c r="G68" s="71">
        <f t="shared" si="2"/>
        <v>0</v>
      </c>
      <c r="H68" s="111">
        <v>3544</v>
      </c>
      <c r="I68" s="361">
        <v>3544</v>
      </c>
      <c r="J68" s="71">
        <f t="shared" si="1"/>
        <v>100</v>
      </c>
    </row>
    <row r="69" spans="1:10" customFormat="1" ht="18.75" customHeight="1" x14ac:dyDescent="0.25">
      <c r="A69" s="100" t="s">
        <v>1435</v>
      </c>
      <c r="B69" s="47" t="s">
        <v>952</v>
      </c>
      <c r="C69" s="366" t="s">
        <v>40</v>
      </c>
      <c r="D69" s="167" t="s">
        <v>222</v>
      </c>
      <c r="E69" s="112">
        <v>1</v>
      </c>
      <c r="F69" s="112">
        <v>0</v>
      </c>
      <c r="G69" s="71">
        <f t="shared" si="2"/>
        <v>0</v>
      </c>
      <c r="H69" s="111">
        <v>3744</v>
      </c>
      <c r="I69" s="361">
        <v>3744</v>
      </c>
      <c r="J69" s="71">
        <f t="shared" si="1"/>
        <v>100</v>
      </c>
    </row>
    <row r="70" spans="1:10" customFormat="1" ht="18.75" customHeight="1" x14ac:dyDescent="0.25">
      <c r="A70" s="100" t="s">
        <v>1436</v>
      </c>
      <c r="B70" s="47" t="s">
        <v>953</v>
      </c>
      <c r="C70" s="366" t="s">
        <v>40</v>
      </c>
      <c r="D70" s="167" t="s">
        <v>467</v>
      </c>
      <c r="E70" s="112">
        <v>1</v>
      </c>
      <c r="F70" s="112">
        <v>0</v>
      </c>
      <c r="G70" s="71">
        <f t="shared" si="2"/>
        <v>0</v>
      </c>
      <c r="H70" s="111">
        <v>3544</v>
      </c>
      <c r="I70" s="361">
        <v>3544</v>
      </c>
      <c r="J70" s="71">
        <f t="shared" si="1"/>
        <v>100</v>
      </c>
    </row>
    <row r="71" spans="1:10" customFormat="1" ht="21" customHeight="1" x14ac:dyDescent="0.25">
      <c r="A71" s="98" t="s">
        <v>1437</v>
      </c>
      <c r="B71" s="51" t="s">
        <v>954</v>
      </c>
      <c r="C71" s="366" t="s">
        <v>40</v>
      </c>
      <c r="D71" s="179" t="s">
        <v>467</v>
      </c>
      <c r="E71" s="116">
        <v>1</v>
      </c>
      <c r="F71" s="116"/>
      <c r="G71" s="71">
        <f t="shared" si="2"/>
        <v>0</v>
      </c>
      <c r="H71" s="24">
        <f>SUM(H72:H75)</f>
        <v>12872</v>
      </c>
      <c r="I71" s="318">
        <f>SUM(I72:I75)</f>
        <v>12872</v>
      </c>
      <c r="J71" s="387">
        <f t="shared" si="1"/>
        <v>100</v>
      </c>
    </row>
    <row r="72" spans="1:10" customFormat="1" ht="25.5" customHeight="1" x14ac:dyDescent="0.25">
      <c r="A72" s="100" t="s">
        <v>949</v>
      </c>
      <c r="B72" s="104" t="s">
        <v>955</v>
      </c>
      <c r="C72" s="366" t="s">
        <v>40</v>
      </c>
      <c r="D72" s="178" t="s">
        <v>467</v>
      </c>
      <c r="E72" s="113" t="s">
        <v>915</v>
      </c>
      <c r="F72" s="113" t="s">
        <v>915</v>
      </c>
      <c r="G72" s="71">
        <f t="shared" si="2"/>
        <v>100</v>
      </c>
      <c r="H72" s="111">
        <v>3218</v>
      </c>
      <c r="I72" s="361">
        <v>3218</v>
      </c>
      <c r="J72" s="387">
        <f t="shared" si="1"/>
        <v>100</v>
      </c>
    </row>
    <row r="73" spans="1:10" customFormat="1" ht="18.75" customHeight="1" x14ac:dyDescent="0.25">
      <c r="A73" s="100" t="s">
        <v>969</v>
      </c>
      <c r="B73" s="47" t="s">
        <v>956</v>
      </c>
      <c r="C73" s="366" t="s">
        <v>40</v>
      </c>
      <c r="D73" s="167" t="s">
        <v>220</v>
      </c>
      <c r="E73" s="112">
        <v>1</v>
      </c>
      <c r="F73" s="112">
        <v>1</v>
      </c>
      <c r="G73" s="71">
        <f t="shared" si="2"/>
        <v>100</v>
      </c>
      <c r="H73" s="111">
        <v>3218</v>
      </c>
      <c r="I73" s="361">
        <v>3218</v>
      </c>
      <c r="J73" s="387">
        <f t="shared" si="1"/>
        <v>100</v>
      </c>
    </row>
    <row r="74" spans="1:10" customFormat="1" ht="18.75" customHeight="1" x14ac:dyDescent="0.25">
      <c r="A74" s="100" t="s">
        <v>970</v>
      </c>
      <c r="B74" s="47" t="s">
        <v>957</v>
      </c>
      <c r="C74" s="366" t="s">
        <v>40</v>
      </c>
      <c r="D74" s="167" t="s">
        <v>220</v>
      </c>
      <c r="E74" s="112">
        <v>1</v>
      </c>
      <c r="F74" s="112">
        <v>1</v>
      </c>
      <c r="G74" s="71">
        <f t="shared" si="2"/>
        <v>100</v>
      </c>
      <c r="H74" s="111">
        <v>3218</v>
      </c>
      <c r="I74" s="361">
        <v>3218</v>
      </c>
      <c r="J74" s="387">
        <f t="shared" si="1"/>
        <v>100</v>
      </c>
    </row>
    <row r="75" spans="1:10" customFormat="1" ht="18.75" customHeight="1" x14ac:dyDescent="0.25">
      <c r="A75" s="100" t="s">
        <v>971</v>
      </c>
      <c r="B75" s="47" t="s">
        <v>958</v>
      </c>
      <c r="C75" s="366" t="s">
        <v>40</v>
      </c>
      <c r="D75" s="167" t="s">
        <v>521</v>
      </c>
      <c r="E75" s="112">
        <v>1</v>
      </c>
      <c r="F75" s="112">
        <v>1</v>
      </c>
      <c r="G75" s="71">
        <f t="shared" si="2"/>
        <v>100</v>
      </c>
      <c r="H75" s="111">
        <v>3218</v>
      </c>
      <c r="I75" s="361">
        <v>3218</v>
      </c>
      <c r="J75" s="387">
        <f t="shared" ref="J75:J80" si="3">+I75/H75*100</f>
        <v>100</v>
      </c>
    </row>
    <row r="76" spans="1:10" customFormat="1" ht="18.75" customHeight="1" x14ac:dyDescent="0.25">
      <c r="A76" s="27">
        <v>21</v>
      </c>
      <c r="B76" s="101" t="s">
        <v>959</v>
      </c>
      <c r="C76" s="386" t="s">
        <v>40</v>
      </c>
      <c r="D76" s="180" t="s">
        <v>577</v>
      </c>
      <c r="E76" s="117" t="s">
        <v>915</v>
      </c>
      <c r="F76" s="117"/>
      <c r="G76" s="71">
        <f t="shared" si="2"/>
        <v>0</v>
      </c>
      <c r="H76" s="24">
        <f>SUM(H77:H80)</f>
        <v>35966</v>
      </c>
      <c r="I76" s="318">
        <f>SUM(I77:I80)</f>
        <v>35966</v>
      </c>
      <c r="J76" s="387">
        <f t="shared" si="3"/>
        <v>100</v>
      </c>
    </row>
    <row r="77" spans="1:10" customFormat="1" ht="18.75" customHeight="1" x14ac:dyDescent="0.25">
      <c r="A77" s="49">
        <v>21.1</v>
      </c>
      <c r="B77" s="105" t="s">
        <v>960</v>
      </c>
      <c r="C77" s="366" t="s">
        <v>40</v>
      </c>
      <c r="D77" s="181" t="s">
        <v>961</v>
      </c>
      <c r="E77" s="118" t="s">
        <v>915</v>
      </c>
      <c r="F77" s="118" t="s">
        <v>915</v>
      </c>
      <c r="G77" s="71">
        <f t="shared" si="2"/>
        <v>100</v>
      </c>
      <c r="H77" s="111">
        <v>9017</v>
      </c>
      <c r="I77" s="361">
        <v>9017</v>
      </c>
      <c r="J77" s="71">
        <f t="shared" si="3"/>
        <v>100</v>
      </c>
    </row>
    <row r="78" spans="1:10" customFormat="1" ht="18.75" customHeight="1" x14ac:dyDescent="0.25">
      <c r="A78" s="49">
        <v>21.2</v>
      </c>
      <c r="B78" s="105" t="s">
        <v>962</v>
      </c>
      <c r="C78" s="366" t="s">
        <v>40</v>
      </c>
      <c r="D78" s="182" t="s">
        <v>220</v>
      </c>
      <c r="E78" s="119">
        <v>1</v>
      </c>
      <c r="F78" s="119">
        <v>1</v>
      </c>
      <c r="G78" s="71">
        <f t="shared" si="2"/>
        <v>100</v>
      </c>
      <c r="H78" s="111">
        <f>8917+98</f>
        <v>9015</v>
      </c>
      <c r="I78" s="361">
        <f>8917+98</f>
        <v>9015</v>
      </c>
      <c r="J78" s="71">
        <f t="shared" si="3"/>
        <v>100</v>
      </c>
    </row>
    <row r="79" spans="1:10" customFormat="1" ht="18.75" customHeight="1" x14ac:dyDescent="0.25">
      <c r="A79" s="49">
        <v>21.3</v>
      </c>
      <c r="B79" s="105" t="s">
        <v>963</v>
      </c>
      <c r="C79" s="366" t="s">
        <v>40</v>
      </c>
      <c r="D79" s="182" t="s">
        <v>964</v>
      </c>
      <c r="E79" s="119">
        <v>1</v>
      </c>
      <c r="F79" s="119">
        <v>0</v>
      </c>
      <c r="G79" s="71">
        <f t="shared" si="2"/>
        <v>0</v>
      </c>
      <c r="H79" s="111">
        <v>8917</v>
      </c>
      <c r="I79" s="361">
        <v>8917</v>
      </c>
      <c r="J79" s="71">
        <f t="shared" si="3"/>
        <v>100</v>
      </c>
    </row>
    <row r="80" spans="1:10" customFormat="1" ht="18.75" customHeight="1" x14ac:dyDescent="0.25">
      <c r="A80" s="49">
        <v>21.4</v>
      </c>
      <c r="B80" s="105" t="s">
        <v>965</v>
      </c>
      <c r="C80" s="366" t="s">
        <v>40</v>
      </c>
      <c r="D80" s="182" t="s">
        <v>755</v>
      </c>
      <c r="E80" s="119">
        <v>1</v>
      </c>
      <c r="F80" s="119">
        <v>0</v>
      </c>
      <c r="G80" s="71">
        <f t="shared" si="2"/>
        <v>0</v>
      </c>
      <c r="H80" s="111">
        <f>8917+100</f>
        <v>9017</v>
      </c>
      <c r="I80" s="361">
        <f>8917+100</f>
        <v>9017</v>
      </c>
      <c r="J80" s="71">
        <f t="shared" si="3"/>
        <v>100</v>
      </c>
    </row>
    <row r="81" spans="1:14" ht="18.75" customHeight="1" x14ac:dyDescent="0.25">
      <c r="A81" s="663"/>
      <c r="B81" s="75" t="s">
        <v>874</v>
      </c>
      <c r="C81" s="152"/>
      <c r="D81" s="152"/>
      <c r="E81" s="82"/>
      <c r="F81" s="796"/>
      <c r="G81" s="152"/>
      <c r="H81" s="631">
        <f>SUM(H82:H91)</f>
        <v>760504.00000000012</v>
      </c>
      <c r="I81" s="632">
        <f>SUM(I82:I91)</f>
        <v>743336</v>
      </c>
      <c r="J81" s="632">
        <f>+I81/H81+100</f>
        <v>100.97742549677582</v>
      </c>
      <c r="M81"/>
    </row>
    <row r="82" spans="1:14" ht="18.75" customHeight="1" x14ac:dyDescent="0.2">
      <c r="A82" s="43">
        <v>1</v>
      </c>
      <c r="B82" s="604" t="s">
        <v>875</v>
      </c>
      <c r="C82" s="183" t="s">
        <v>40</v>
      </c>
      <c r="D82" s="183" t="s">
        <v>876</v>
      </c>
      <c r="E82" s="797">
        <v>44</v>
      </c>
      <c r="F82" s="63">
        <v>60</v>
      </c>
      <c r="G82" s="527">
        <f>+F82/E82*100</f>
        <v>136.36363636363635</v>
      </c>
      <c r="H82" s="38">
        <v>110187.09733504622</v>
      </c>
      <c r="I82" s="277">
        <v>117529.67218298725</v>
      </c>
      <c r="J82" s="527">
        <f>+I82/H82*100</f>
        <v>106.66373379962488</v>
      </c>
      <c r="K82" s="275"/>
      <c r="L82" s="276"/>
      <c r="M82" s="90"/>
    </row>
    <row r="83" spans="1:14" ht="18.75" customHeight="1" x14ac:dyDescent="0.2">
      <c r="A83" s="43">
        <v>2</v>
      </c>
      <c r="B83" s="604" t="s">
        <v>877</v>
      </c>
      <c r="C83" s="183" t="s">
        <v>40</v>
      </c>
      <c r="D83" s="183" t="s">
        <v>876</v>
      </c>
      <c r="E83" s="38">
        <v>36</v>
      </c>
      <c r="F83" s="63">
        <v>23</v>
      </c>
      <c r="G83" s="527">
        <f t="shared" ref="G83:G91" si="4">+F83/E83*100</f>
        <v>63.888888888888886</v>
      </c>
      <c r="H83" s="38">
        <v>168953.54924707086</v>
      </c>
      <c r="I83" s="277">
        <v>180212.1640139138</v>
      </c>
      <c r="J83" s="527">
        <f t="shared" ref="J83:J91" si="5">+I83/H83*100</f>
        <v>106.66373379962488</v>
      </c>
      <c r="K83" s="275"/>
      <c r="L83" s="276"/>
      <c r="M83" s="90"/>
      <c r="N83" s="275"/>
    </row>
    <row r="84" spans="1:14" ht="18.75" customHeight="1" x14ac:dyDescent="0.2">
      <c r="A84" s="43">
        <v>3</v>
      </c>
      <c r="B84" s="604" t="s">
        <v>878</v>
      </c>
      <c r="C84" s="183" t="s">
        <v>40</v>
      </c>
      <c r="D84" s="164" t="s">
        <v>879</v>
      </c>
      <c r="E84" s="38">
        <v>360</v>
      </c>
      <c r="F84" s="636">
        <v>241</v>
      </c>
      <c r="G84" s="527">
        <f t="shared" si="4"/>
        <v>66.944444444444443</v>
      </c>
      <c r="H84" s="38">
        <v>0</v>
      </c>
      <c r="I84" s="277">
        <v>0</v>
      </c>
      <c r="J84" s="527"/>
      <c r="K84" s="275"/>
      <c r="L84" s="276"/>
      <c r="M84" s="90"/>
      <c r="N84" s="275"/>
    </row>
    <row r="85" spans="1:14" ht="18.75" customHeight="1" x14ac:dyDescent="0.2">
      <c r="A85" s="43">
        <v>4</v>
      </c>
      <c r="B85" s="604" t="s">
        <v>880</v>
      </c>
      <c r="C85" s="183" t="s">
        <v>40</v>
      </c>
      <c r="D85" s="183" t="s">
        <v>881</v>
      </c>
      <c r="E85" s="38">
        <v>10</v>
      </c>
      <c r="F85" s="63">
        <v>12</v>
      </c>
      <c r="G85" s="527">
        <f t="shared" si="4"/>
        <v>120</v>
      </c>
      <c r="H85" s="38">
        <v>73458.064890030815</v>
      </c>
      <c r="I85" s="277">
        <v>78353.11478865816</v>
      </c>
      <c r="J85" s="527">
        <f t="shared" si="5"/>
        <v>106.66373379962486</v>
      </c>
      <c r="K85" s="275"/>
      <c r="L85" s="276"/>
      <c r="M85" s="90"/>
      <c r="N85" s="275"/>
    </row>
    <row r="86" spans="1:14" ht="18.75" customHeight="1" x14ac:dyDescent="0.2">
      <c r="A86" s="43">
        <v>5</v>
      </c>
      <c r="B86" s="604" t="s">
        <v>882</v>
      </c>
      <c r="C86" s="183" t="s">
        <v>40</v>
      </c>
      <c r="D86" s="183" t="s">
        <v>883</v>
      </c>
      <c r="E86" s="38">
        <v>12</v>
      </c>
      <c r="F86" s="63">
        <v>19</v>
      </c>
      <c r="G86" s="527">
        <f t="shared" si="4"/>
        <v>158.33333333333331</v>
      </c>
      <c r="H86" s="38">
        <v>73458.064890030815</v>
      </c>
      <c r="I86" s="277">
        <v>112828.48529566776</v>
      </c>
      <c r="J86" s="527">
        <f t="shared" si="5"/>
        <v>153.59577667145982</v>
      </c>
      <c r="K86" s="275"/>
      <c r="L86" s="276"/>
      <c r="M86" s="90"/>
      <c r="N86" s="275"/>
    </row>
    <row r="87" spans="1:14" ht="18.75" customHeight="1" x14ac:dyDescent="0.2">
      <c r="A87" s="43">
        <v>6</v>
      </c>
      <c r="B87" s="604" t="s">
        <v>884</v>
      </c>
      <c r="C87" s="183" t="s">
        <v>40</v>
      </c>
      <c r="D87" s="183" t="s">
        <v>885</v>
      </c>
      <c r="E87" s="38">
        <v>2</v>
      </c>
      <c r="F87" s="63">
        <v>4</v>
      </c>
      <c r="G87" s="527">
        <f t="shared" si="4"/>
        <v>200</v>
      </c>
      <c r="H87" s="38">
        <v>58766.451912024655</v>
      </c>
      <c r="I87" s="277">
        <v>78353.11478865816</v>
      </c>
      <c r="J87" s="527">
        <f t="shared" si="5"/>
        <v>133.32966724953107</v>
      </c>
      <c r="K87" s="275"/>
      <c r="L87" s="276"/>
      <c r="M87" s="90"/>
      <c r="N87" s="275"/>
    </row>
    <row r="88" spans="1:14" ht="18.75" customHeight="1" x14ac:dyDescent="0.2">
      <c r="A88" s="43">
        <v>7</v>
      </c>
      <c r="B88" s="604" t="s">
        <v>886</v>
      </c>
      <c r="C88" s="183" t="s">
        <v>40</v>
      </c>
      <c r="D88" s="183" t="s">
        <v>887</v>
      </c>
      <c r="E88" s="38">
        <v>250</v>
      </c>
      <c r="F88" s="63">
        <v>282</v>
      </c>
      <c r="G88" s="527">
        <f t="shared" si="4"/>
        <v>112.79999999999998</v>
      </c>
      <c r="H88" s="38">
        <v>88149.677868036961</v>
      </c>
      <c r="I88" s="277">
        <v>100566.22283124276</v>
      </c>
      <c r="J88" s="527">
        <f t="shared" si="5"/>
        <v>114.08575194318213</v>
      </c>
      <c r="K88" s="275"/>
      <c r="L88" s="276"/>
      <c r="M88" s="90"/>
      <c r="N88" s="275"/>
    </row>
    <row r="89" spans="1:14" ht="18.75" customHeight="1" x14ac:dyDescent="0.2">
      <c r="A89" s="43">
        <v>8</v>
      </c>
      <c r="B89" s="19" t="s">
        <v>888</v>
      </c>
      <c r="C89" s="183" t="s">
        <v>40</v>
      </c>
      <c r="D89" s="607" t="s">
        <v>889</v>
      </c>
      <c r="E89" s="38">
        <v>50</v>
      </c>
      <c r="F89" s="390">
        <v>62</v>
      </c>
      <c r="G89" s="527">
        <f t="shared" si="4"/>
        <v>124</v>
      </c>
      <c r="H89" s="38">
        <v>29383.225956012328</v>
      </c>
      <c r="I89" s="277">
        <v>62682.491830926534</v>
      </c>
      <c r="J89" s="527">
        <f t="shared" si="5"/>
        <v>213.32746759924973</v>
      </c>
      <c r="K89" s="275"/>
      <c r="L89" s="276"/>
      <c r="M89" s="90"/>
      <c r="N89" s="275"/>
    </row>
    <row r="90" spans="1:14" ht="18.75" customHeight="1" x14ac:dyDescent="0.2">
      <c r="A90" s="43">
        <v>9</v>
      </c>
      <c r="B90" s="19" t="s">
        <v>890</v>
      </c>
      <c r="C90" s="183" t="s">
        <v>40</v>
      </c>
      <c r="D90" s="607" t="s">
        <v>467</v>
      </c>
      <c r="E90" s="38">
        <v>0</v>
      </c>
      <c r="F90" s="390">
        <v>24</v>
      </c>
      <c r="G90" s="527">
        <v>0</v>
      </c>
      <c r="H90" s="38">
        <v>1469.1612978006162</v>
      </c>
      <c r="I90" s="277">
        <v>3134.1245915463269</v>
      </c>
      <c r="J90" s="527">
        <f t="shared" si="5"/>
        <v>213.32746759924976</v>
      </c>
      <c r="K90" s="275"/>
      <c r="L90" s="276"/>
      <c r="M90" s="90"/>
      <c r="N90" s="275"/>
    </row>
    <row r="91" spans="1:14" ht="18.75" customHeight="1" x14ac:dyDescent="0.2">
      <c r="A91" s="43">
        <v>10</v>
      </c>
      <c r="B91" s="19" t="s">
        <v>891</v>
      </c>
      <c r="C91" s="183" t="s">
        <v>40</v>
      </c>
      <c r="D91" s="607" t="s">
        <v>892</v>
      </c>
      <c r="E91" s="38">
        <v>2</v>
      </c>
      <c r="F91" s="390">
        <v>2</v>
      </c>
      <c r="G91" s="527">
        <f t="shared" si="4"/>
        <v>100</v>
      </c>
      <c r="H91" s="38">
        <v>156678.70660394672</v>
      </c>
      <c r="I91" s="277">
        <v>9676.6096763992828</v>
      </c>
      <c r="J91" s="527">
        <f t="shared" si="5"/>
        <v>6.1760847317050356</v>
      </c>
      <c r="K91" s="275"/>
      <c r="L91" s="276"/>
      <c r="M91" s="90"/>
      <c r="N91" s="275"/>
    </row>
    <row r="92" spans="1:14" x14ac:dyDescent="0.2">
      <c r="J92" s="279"/>
      <c r="N92" s="275"/>
    </row>
  </sheetData>
  <mergeCells count="12">
    <mergeCell ref="D5:G5"/>
    <mergeCell ref="H5:J5"/>
    <mergeCell ref="A3:J3"/>
    <mergeCell ref="A4:J4"/>
    <mergeCell ref="A7:B7"/>
    <mergeCell ref="A2:B2"/>
    <mergeCell ref="A5:A6"/>
    <mergeCell ref="B5:B6"/>
    <mergeCell ref="C5:C6"/>
    <mergeCell ref="B33:B34"/>
    <mergeCell ref="A33:A34"/>
    <mergeCell ref="A9:B9"/>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rowBreaks count="1" manualBreakCount="1">
    <brk id="51"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79998168889431442"/>
  </sheetPr>
  <dimension ref="A2:M100"/>
  <sheetViews>
    <sheetView view="pageBreakPreview" zoomScale="60" zoomScaleNormal="100" workbookViewId="0">
      <selection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65" customWidth="1"/>
    <col min="6" max="6" width="11.7109375" style="159" customWidth="1"/>
    <col min="7" max="7" width="10.140625" style="159" customWidth="1"/>
    <col min="8" max="8" width="12.5703125" style="65" customWidth="1"/>
    <col min="9" max="9" width="13.42578125" style="65" customWidth="1"/>
    <col min="10" max="10" width="9.85546875" style="65" customWidth="1"/>
    <col min="11" max="11" width="11.42578125" style="3"/>
    <col min="12" max="13" width="11.7109375" style="3" bestFit="1" customWidth="1"/>
    <col min="14" max="16384" width="11.42578125" style="3"/>
  </cols>
  <sheetData>
    <row r="2" spans="1:12" ht="18" customHeight="1" x14ac:dyDescent="0.2">
      <c r="A2" s="983" t="s">
        <v>38</v>
      </c>
      <c r="B2" s="983"/>
      <c r="C2" s="1"/>
      <c r="D2" s="150"/>
      <c r="E2" s="61"/>
      <c r="F2" s="150"/>
      <c r="G2" s="150"/>
      <c r="H2" s="61"/>
      <c r="I2" s="61"/>
      <c r="J2" s="66"/>
    </row>
    <row r="3" spans="1:12" ht="19.5" customHeight="1" x14ac:dyDescent="0.2">
      <c r="A3" s="987" t="s">
        <v>33</v>
      </c>
      <c r="B3" s="988"/>
      <c r="C3" s="988"/>
      <c r="D3" s="988"/>
      <c r="E3" s="988"/>
      <c r="F3" s="988"/>
      <c r="G3" s="988"/>
      <c r="H3" s="988"/>
      <c r="I3" s="988"/>
      <c r="J3" s="989"/>
    </row>
    <row r="4" spans="1:12" ht="18" customHeight="1" x14ac:dyDescent="0.2">
      <c r="A4" s="987" t="s">
        <v>36</v>
      </c>
      <c r="B4" s="988"/>
      <c r="C4" s="988"/>
      <c r="D4" s="988"/>
      <c r="E4" s="988"/>
      <c r="F4" s="988"/>
      <c r="G4" s="988"/>
      <c r="H4" s="988"/>
      <c r="I4" s="988"/>
      <c r="J4" s="989"/>
    </row>
    <row r="5" spans="1:12" ht="18" customHeight="1" x14ac:dyDescent="0.2">
      <c r="A5" s="1007" t="s">
        <v>0</v>
      </c>
      <c r="B5" s="1007" t="s">
        <v>1</v>
      </c>
      <c r="C5" s="1007" t="s">
        <v>2</v>
      </c>
      <c r="D5" s="990" t="s">
        <v>1440</v>
      </c>
      <c r="E5" s="990"/>
      <c r="F5" s="990"/>
      <c r="G5" s="990"/>
      <c r="H5" s="990" t="s">
        <v>1441</v>
      </c>
      <c r="I5" s="990"/>
      <c r="J5" s="990"/>
    </row>
    <row r="6" spans="1:12" ht="24" customHeight="1" x14ac:dyDescent="0.2">
      <c r="A6" s="1008"/>
      <c r="B6" s="1008"/>
      <c r="C6" s="1008"/>
      <c r="D6" s="4" t="s">
        <v>3</v>
      </c>
      <c r="E6" s="4" t="s">
        <v>4</v>
      </c>
      <c r="F6" s="270" t="s">
        <v>1298</v>
      </c>
      <c r="G6" s="270" t="s">
        <v>1439</v>
      </c>
      <c r="H6" s="4" t="s">
        <v>1297</v>
      </c>
      <c r="I6" s="270" t="s">
        <v>1298</v>
      </c>
      <c r="J6" s="270" t="s">
        <v>1439</v>
      </c>
    </row>
    <row r="7" spans="1:12" customFormat="1" ht="18.75" customHeight="1" x14ac:dyDescent="0.25">
      <c r="A7" s="985" t="s">
        <v>972</v>
      </c>
      <c r="B7" s="985"/>
      <c r="C7" s="18"/>
      <c r="D7" s="163"/>
      <c r="E7" s="25"/>
      <c r="F7" s="25"/>
      <c r="G7" s="25"/>
      <c r="H7" s="67">
        <f>SUM(H8,H11,H14,H17,H21,H29)</f>
        <v>3646672</v>
      </c>
      <c r="I7" s="81">
        <f>SUM(I8,I11,I14,I17,I21,I29)</f>
        <v>3299684.11</v>
      </c>
      <c r="J7" s="81">
        <f t="shared" ref="J7:J12" si="0">I7/H7*100</f>
        <v>90.484806694981074</v>
      </c>
      <c r="L7" s="85"/>
    </row>
    <row r="8" spans="1:12" customFormat="1" ht="18.75" customHeight="1" x14ac:dyDescent="0.25">
      <c r="A8" s="125">
        <v>1</v>
      </c>
      <c r="B8" s="364" t="s">
        <v>993</v>
      </c>
      <c r="C8" s="18"/>
      <c r="D8" s="163"/>
      <c r="E8" s="39"/>
      <c r="F8" s="25"/>
      <c r="G8" s="25"/>
      <c r="H8" s="24">
        <f>SUM(H9:H10)</f>
        <v>514526</v>
      </c>
      <c r="I8" s="24">
        <f>SUM(I9:I10)</f>
        <v>491339</v>
      </c>
      <c r="J8" s="318">
        <f t="shared" si="0"/>
        <v>95.49352219324193</v>
      </c>
    </row>
    <row r="9" spans="1:12" customFormat="1" ht="18.75" customHeight="1" x14ac:dyDescent="0.25">
      <c r="A9" s="44">
        <v>1.1000000000000001</v>
      </c>
      <c r="B9" s="605" t="s">
        <v>973</v>
      </c>
      <c r="C9" s="607" t="s">
        <v>40</v>
      </c>
      <c r="D9" s="607" t="s">
        <v>974</v>
      </c>
      <c r="E9" s="37">
        <v>24</v>
      </c>
      <c r="F9" s="390">
        <v>24</v>
      </c>
      <c r="G9" s="349">
        <f>+F9/E9*100</f>
        <v>100</v>
      </c>
      <c r="H9" s="122">
        <v>164035</v>
      </c>
      <c r="I9" s="122">
        <v>142654</v>
      </c>
      <c r="J9" s="311">
        <f t="shared" si="0"/>
        <v>86.965586612613166</v>
      </c>
    </row>
    <row r="10" spans="1:12" customFormat="1" ht="51.75" customHeight="1" x14ac:dyDescent="0.25">
      <c r="A10" s="44">
        <v>1.2</v>
      </c>
      <c r="B10" s="605" t="s">
        <v>975</v>
      </c>
      <c r="C10" s="607" t="s">
        <v>40</v>
      </c>
      <c r="D10" s="607" t="s">
        <v>976</v>
      </c>
      <c r="E10" s="37">
        <v>15</v>
      </c>
      <c r="F10" s="390">
        <v>15</v>
      </c>
      <c r="G10" s="349">
        <f t="shared" ref="G10:G31" si="1">+F10/E10*100</f>
        <v>100</v>
      </c>
      <c r="H10" s="122">
        <v>350491</v>
      </c>
      <c r="I10" s="311">
        <v>348685</v>
      </c>
      <c r="J10" s="311">
        <f t="shared" si="0"/>
        <v>99.484722860216095</v>
      </c>
    </row>
    <row r="11" spans="1:12" customFormat="1" ht="18.75" customHeight="1" x14ac:dyDescent="0.25">
      <c r="A11" s="125">
        <v>2</v>
      </c>
      <c r="B11" s="17" t="s">
        <v>996</v>
      </c>
      <c r="C11" s="163"/>
      <c r="D11" s="163"/>
      <c r="E11" s="39"/>
      <c r="F11" s="25"/>
      <c r="G11" s="349"/>
      <c r="H11" s="24">
        <f>SUM(H12:H13)</f>
        <v>694142</v>
      </c>
      <c r="I11" s="24">
        <f>SUM(I12:I13)</f>
        <v>694140</v>
      </c>
      <c r="J11" s="318">
        <f t="shared" si="0"/>
        <v>99.999711874515583</v>
      </c>
    </row>
    <row r="12" spans="1:12" customFormat="1" ht="28.5" customHeight="1" x14ac:dyDescent="0.25">
      <c r="A12" s="44">
        <v>2.1</v>
      </c>
      <c r="B12" s="605" t="s">
        <v>977</v>
      </c>
      <c r="C12" s="607" t="s">
        <v>40</v>
      </c>
      <c r="D12" s="607" t="s">
        <v>196</v>
      </c>
      <c r="E12" s="37">
        <v>24</v>
      </c>
      <c r="F12" s="390">
        <v>24</v>
      </c>
      <c r="G12" s="349">
        <f t="shared" si="1"/>
        <v>100</v>
      </c>
      <c r="H12" s="122">
        <v>579348</v>
      </c>
      <c r="I12" s="122">
        <v>579348</v>
      </c>
      <c r="J12" s="311">
        <f t="shared" si="0"/>
        <v>100</v>
      </c>
    </row>
    <row r="13" spans="1:12" customFormat="1" ht="18.75" customHeight="1" x14ac:dyDescent="0.25">
      <c r="A13" s="44">
        <v>2.2000000000000002</v>
      </c>
      <c r="B13" s="605" t="s">
        <v>978</v>
      </c>
      <c r="C13" s="607" t="s">
        <v>40</v>
      </c>
      <c r="D13" s="607" t="s">
        <v>289</v>
      </c>
      <c r="E13" s="37">
        <v>160</v>
      </c>
      <c r="F13" s="390">
        <v>178</v>
      </c>
      <c r="G13" s="349">
        <f t="shared" si="1"/>
        <v>111.25</v>
      </c>
      <c r="H13" s="122">
        <v>114794</v>
      </c>
      <c r="I13" s="122">
        <v>114792</v>
      </c>
      <c r="J13" s="311">
        <f>+I13/H13*100</f>
        <v>99.998257748662823</v>
      </c>
    </row>
    <row r="14" spans="1:12" customFormat="1" ht="40.5" customHeight="1" x14ac:dyDescent="0.25">
      <c r="A14" s="125">
        <v>3</v>
      </c>
      <c r="B14" s="17" t="s">
        <v>994</v>
      </c>
      <c r="C14" s="163"/>
      <c r="D14" s="163"/>
      <c r="E14" s="39"/>
      <c r="F14" s="25"/>
      <c r="G14" s="349"/>
      <c r="H14" s="24">
        <f>SUM(H15:H16)</f>
        <v>14177</v>
      </c>
      <c r="I14" s="24">
        <f>SUM(I15:I16)</f>
        <v>14172</v>
      </c>
      <c r="J14" s="318">
        <f t="shared" ref="J14:J22" si="2">I14/H14*100</f>
        <v>99.964731607533324</v>
      </c>
    </row>
    <row r="15" spans="1:12" customFormat="1" ht="40.5" customHeight="1" x14ac:dyDescent="0.25">
      <c r="A15" s="44">
        <v>3.1</v>
      </c>
      <c r="B15" s="605" t="s">
        <v>979</v>
      </c>
      <c r="C15" s="607" t="s">
        <v>46</v>
      </c>
      <c r="D15" s="607" t="s">
        <v>459</v>
      </c>
      <c r="E15" s="37">
        <v>72</v>
      </c>
      <c r="F15" s="390">
        <v>72</v>
      </c>
      <c r="G15" s="349">
        <f t="shared" si="1"/>
        <v>100</v>
      </c>
      <c r="H15" s="122">
        <v>3247</v>
      </c>
      <c r="I15" s="122">
        <v>3247</v>
      </c>
      <c r="J15" s="311">
        <f t="shared" si="2"/>
        <v>100</v>
      </c>
    </row>
    <row r="16" spans="1:12" customFormat="1" ht="65.25" customHeight="1" x14ac:dyDescent="0.25">
      <c r="A16" s="44">
        <v>3.2</v>
      </c>
      <c r="B16" s="605" t="s">
        <v>980</v>
      </c>
      <c r="C16" s="607" t="s">
        <v>40</v>
      </c>
      <c r="D16" s="607" t="s">
        <v>72</v>
      </c>
      <c r="E16" s="37">
        <v>130</v>
      </c>
      <c r="F16" s="390">
        <v>130</v>
      </c>
      <c r="G16" s="349">
        <f t="shared" si="1"/>
        <v>100</v>
      </c>
      <c r="H16" s="122">
        <v>10930</v>
      </c>
      <c r="I16" s="122">
        <v>10925</v>
      </c>
      <c r="J16" s="311">
        <f t="shared" si="2"/>
        <v>99.954254345837143</v>
      </c>
      <c r="L16" s="85"/>
    </row>
    <row r="17" spans="1:13" customFormat="1" ht="18.75" customHeight="1" x14ac:dyDescent="0.25">
      <c r="A17" s="125">
        <v>4</v>
      </c>
      <c r="B17" s="17" t="s">
        <v>995</v>
      </c>
      <c r="C17" s="163"/>
      <c r="D17" s="163"/>
      <c r="E17" s="39"/>
      <c r="F17" s="25"/>
      <c r="G17" s="349"/>
      <c r="H17" s="24">
        <f>SUM(H18:H20)</f>
        <v>294151</v>
      </c>
      <c r="I17" s="24">
        <f>SUM(I18:I20)</f>
        <v>294151</v>
      </c>
      <c r="J17" s="318">
        <f t="shared" si="2"/>
        <v>100</v>
      </c>
      <c r="K17" s="85"/>
    </row>
    <row r="18" spans="1:13" customFormat="1" ht="18.75" customHeight="1" x14ac:dyDescent="0.25">
      <c r="A18" s="44">
        <v>4.0999999999999996</v>
      </c>
      <c r="B18" s="605" t="s">
        <v>981</v>
      </c>
      <c r="C18" s="607" t="s">
        <v>46</v>
      </c>
      <c r="D18" s="607" t="s">
        <v>222</v>
      </c>
      <c r="E18" s="37">
        <v>8</v>
      </c>
      <c r="F18" s="390">
        <v>8</v>
      </c>
      <c r="G18" s="349">
        <f t="shared" si="1"/>
        <v>100</v>
      </c>
      <c r="H18" s="122">
        <v>36127</v>
      </c>
      <c r="I18" s="122">
        <v>36127</v>
      </c>
      <c r="J18" s="311">
        <f t="shared" si="2"/>
        <v>100</v>
      </c>
    </row>
    <row r="19" spans="1:13" customFormat="1" ht="18.75" customHeight="1" x14ac:dyDescent="0.25">
      <c r="A19" s="44">
        <v>4.2</v>
      </c>
      <c r="B19" s="605" t="s">
        <v>982</v>
      </c>
      <c r="C19" s="607" t="s">
        <v>40</v>
      </c>
      <c r="D19" s="607" t="s">
        <v>248</v>
      </c>
      <c r="E19" s="37">
        <v>2</v>
      </c>
      <c r="F19" s="390">
        <v>2</v>
      </c>
      <c r="G19" s="349">
        <f t="shared" si="1"/>
        <v>100</v>
      </c>
      <c r="H19" s="122">
        <v>251024</v>
      </c>
      <c r="I19" s="122">
        <v>251024</v>
      </c>
      <c r="J19" s="311">
        <f t="shared" si="2"/>
        <v>100</v>
      </c>
    </row>
    <row r="20" spans="1:13" customFormat="1" ht="21" customHeight="1" x14ac:dyDescent="0.25">
      <c r="A20" s="44">
        <v>4.3</v>
      </c>
      <c r="B20" s="605" t="s">
        <v>983</v>
      </c>
      <c r="C20" s="607" t="s">
        <v>46</v>
      </c>
      <c r="D20" s="607" t="s">
        <v>984</v>
      </c>
      <c r="E20" s="37">
        <v>2</v>
      </c>
      <c r="F20" s="390">
        <v>2</v>
      </c>
      <c r="G20" s="349">
        <f t="shared" si="1"/>
        <v>100</v>
      </c>
      <c r="H20" s="122">
        <v>7000</v>
      </c>
      <c r="I20" s="122">
        <v>7000</v>
      </c>
      <c r="J20" s="311">
        <f t="shared" si="2"/>
        <v>100</v>
      </c>
      <c r="L20" s="88"/>
      <c r="M20" s="88"/>
    </row>
    <row r="21" spans="1:13" customFormat="1" ht="18.75" customHeight="1" x14ac:dyDescent="0.25">
      <c r="A21" s="125">
        <v>5</v>
      </c>
      <c r="B21" s="17" t="s">
        <v>588</v>
      </c>
      <c r="C21" s="163"/>
      <c r="D21" s="163"/>
      <c r="E21" s="39"/>
      <c r="F21" s="25"/>
      <c r="G21" s="349"/>
      <c r="H21" s="24">
        <f>SUM(H22:H28)</f>
        <v>344561</v>
      </c>
      <c r="I21" s="24">
        <f>SUM(I22:I28)</f>
        <v>341056.11</v>
      </c>
      <c r="J21" s="318">
        <f t="shared" si="2"/>
        <v>98.982795499200421</v>
      </c>
      <c r="L21" s="88"/>
      <c r="M21" s="88"/>
    </row>
    <row r="22" spans="1:13" customFormat="1" ht="25.5" customHeight="1" x14ac:dyDescent="0.25">
      <c r="A22" s="44">
        <v>5.0999999999999996</v>
      </c>
      <c r="B22" s="605" t="s">
        <v>985</v>
      </c>
      <c r="C22" s="607" t="s">
        <v>40</v>
      </c>
      <c r="D22" s="607" t="s">
        <v>95</v>
      </c>
      <c r="E22" s="37">
        <v>17</v>
      </c>
      <c r="F22" s="390">
        <v>17</v>
      </c>
      <c r="G22" s="349">
        <f t="shared" si="1"/>
        <v>100</v>
      </c>
      <c r="H22" s="122">
        <v>60765</v>
      </c>
      <c r="I22" s="122">
        <v>60765</v>
      </c>
      <c r="J22" s="311">
        <f t="shared" si="2"/>
        <v>100</v>
      </c>
      <c r="L22" s="88"/>
      <c r="M22" s="88"/>
    </row>
    <row r="23" spans="1:13" customFormat="1" ht="18.75" customHeight="1" x14ac:dyDescent="0.25">
      <c r="A23" s="44">
        <v>5.2</v>
      </c>
      <c r="B23" s="605" t="s">
        <v>986</v>
      </c>
      <c r="C23" s="607" t="s">
        <v>40</v>
      </c>
      <c r="D23" s="607" t="s">
        <v>409</v>
      </c>
      <c r="E23" s="37">
        <v>7</v>
      </c>
      <c r="F23" s="390">
        <v>7</v>
      </c>
      <c r="G23" s="349">
        <f t="shared" si="1"/>
        <v>100</v>
      </c>
      <c r="H23" s="122">
        <v>77196</v>
      </c>
      <c r="I23" s="122">
        <v>77194</v>
      </c>
      <c r="J23" s="311">
        <f t="shared" ref="J23:J28" si="3">I23/H23*100</f>
        <v>99.997409192186126</v>
      </c>
      <c r="L23" s="88"/>
      <c r="M23" s="88"/>
    </row>
    <row r="24" spans="1:13" customFormat="1" ht="26.25" customHeight="1" x14ac:dyDescent="0.25">
      <c r="A24" s="44">
        <v>5.3</v>
      </c>
      <c r="B24" s="605" t="s">
        <v>987</v>
      </c>
      <c r="C24" s="607" t="s">
        <v>40</v>
      </c>
      <c r="D24" s="607" t="s">
        <v>90</v>
      </c>
      <c r="E24" s="37">
        <v>4</v>
      </c>
      <c r="F24" s="390">
        <v>4</v>
      </c>
      <c r="G24" s="349">
        <f t="shared" si="1"/>
        <v>100</v>
      </c>
      <c r="H24" s="122">
        <v>5000</v>
      </c>
      <c r="I24" s="122">
        <v>5000</v>
      </c>
      <c r="J24" s="311">
        <f t="shared" si="3"/>
        <v>100</v>
      </c>
      <c r="L24" s="88"/>
      <c r="M24" s="88"/>
    </row>
    <row r="25" spans="1:13" customFormat="1" ht="25.5" customHeight="1" x14ac:dyDescent="0.25">
      <c r="A25" s="44">
        <v>5.4</v>
      </c>
      <c r="B25" s="605" t="s">
        <v>988</v>
      </c>
      <c r="C25" s="607" t="s">
        <v>46</v>
      </c>
      <c r="D25" s="607" t="s">
        <v>90</v>
      </c>
      <c r="E25" s="37">
        <v>16</v>
      </c>
      <c r="F25" s="390">
        <v>16</v>
      </c>
      <c r="G25" s="349">
        <f t="shared" si="1"/>
        <v>100</v>
      </c>
      <c r="H25" s="122">
        <v>18661</v>
      </c>
      <c r="I25" s="122">
        <v>18661</v>
      </c>
      <c r="J25" s="311">
        <f t="shared" si="3"/>
        <v>100</v>
      </c>
      <c r="L25" s="88"/>
      <c r="M25" s="88"/>
    </row>
    <row r="26" spans="1:13" customFormat="1" ht="27" customHeight="1" x14ac:dyDescent="0.25">
      <c r="A26" s="44">
        <v>5.5</v>
      </c>
      <c r="B26" s="605" t="s">
        <v>989</v>
      </c>
      <c r="C26" s="607" t="s">
        <v>40</v>
      </c>
      <c r="D26" s="607" t="s">
        <v>90</v>
      </c>
      <c r="E26" s="37">
        <v>23</v>
      </c>
      <c r="F26" s="390">
        <v>23</v>
      </c>
      <c r="G26" s="349">
        <f t="shared" si="1"/>
        <v>100</v>
      </c>
      <c r="H26" s="122">
        <v>14853</v>
      </c>
      <c r="I26" s="122">
        <v>14853</v>
      </c>
      <c r="J26" s="311">
        <f t="shared" si="3"/>
        <v>100</v>
      </c>
      <c r="L26" s="88"/>
      <c r="M26" s="88"/>
    </row>
    <row r="27" spans="1:13" customFormat="1" ht="20.25" customHeight="1" x14ac:dyDescent="0.25">
      <c r="A27" s="44">
        <v>5.6</v>
      </c>
      <c r="B27" s="605" t="s">
        <v>990</v>
      </c>
      <c r="C27" s="607" t="s">
        <v>40</v>
      </c>
      <c r="D27" s="607" t="s">
        <v>90</v>
      </c>
      <c r="E27" s="37">
        <v>6</v>
      </c>
      <c r="F27" s="390">
        <v>6</v>
      </c>
      <c r="G27" s="349">
        <f t="shared" si="1"/>
        <v>100</v>
      </c>
      <c r="H27" s="122">
        <v>51272</v>
      </c>
      <c r="I27" s="122">
        <v>51272</v>
      </c>
      <c r="J27" s="311">
        <f t="shared" si="3"/>
        <v>100</v>
      </c>
      <c r="L27" s="88"/>
      <c r="M27" s="88"/>
    </row>
    <row r="28" spans="1:13" customFormat="1" ht="24.75" customHeight="1" x14ac:dyDescent="0.25">
      <c r="A28" s="44">
        <v>5.7</v>
      </c>
      <c r="B28" s="605" t="s">
        <v>2042</v>
      </c>
      <c r="C28" s="607" t="s">
        <v>46</v>
      </c>
      <c r="D28" s="607" t="s">
        <v>490</v>
      </c>
      <c r="E28" s="37">
        <v>1</v>
      </c>
      <c r="F28" s="390">
        <v>1</v>
      </c>
      <c r="G28" s="349">
        <f t="shared" si="1"/>
        <v>100</v>
      </c>
      <c r="H28" s="122">
        <v>116814</v>
      </c>
      <c r="I28" s="122">
        <v>113311.11</v>
      </c>
      <c r="J28" s="311">
        <f t="shared" si="3"/>
        <v>97.001309774513331</v>
      </c>
      <c r="L28" s="88"/>
      <c r="M28" s="88"/>
    </row>
    <row r="29" spans="1:13" customFormat="1" ht="18.75" customHeight="1" x14ac:dyDescent="0.25">
      <c r="A29" s="125">
        <v>6</v>
      </c>
      <c r="B29" s="457" t="s">
        <v>997</v>
      </c>
      <c r="C29" s="163"/>
      <c r="D29" s="163"/>
      <c r="E29" s="39"/>
      <c r="F29" s="25"/>
      <c r="G29" s="349"/>
      <c r="H29" s="24">
        <f>SUM(H30:H31)</f>
        <v>1785115</v>
      </c>
      <c r="I29" s="24">
        <f>SUM(I30:I31)</f>
        <v>1464826</v>
      </c>
      <c r="J29" s="318">
        <f>I29/H29*100</f>
        <v>82.057794595866369</v>
      </c>
      <c r="L29" s="88"/>
      <c r="M29" s="88"/>
    </row>
    <row r="30" spans="1:13" customFormat="1" ht="18.75" customHeight="1" x14ac:dyDescent="0.25">
      <c r="A30" s="44">
        <v>6.1</v>
      </c>
      <c r="B30" s="605" t="s">
        <v>991</v>
      </c>
      <c r="C30" s="607" t="s">
        <v>40</v>
      </c>
      <c r="D30" s="607" t="s">
        <v>262</v>
      </c>
      <c r="E30" s="37">
        <v>300</v>
      </c>
      <c r="F30" s="390">
        <v>300</v>
      </c>
      <c r="G30" s="349">
        <f t="shared" si="1"/>
        <v>100</v>
      </c>
      <c r="H30" s="845">
        <v>1530115</v>
      </c>
      <c r="I30" s="845">
        <v>1209826</v>
      </c>
      <c r="J30" s="847">
        <f>I30/H30*100</f>
        <v>79.067651777807541</v>
      </c>
    </row>
    <row r="31" spans="1:13" ht="18.75" customHeight="1" x14ac:dyDescent="0.2">
      <c r="A31" s="44">
        <v>6.2</v>
      </c>
      <c r="B31" s="605" t="s">
        <v>992</v>
      </c>
      <c r="C31" s="607" t="s">
        <v>40</v>
      </c>
      <c r="D31" s="607" t="s">
        <v>262</v>
      </c>
      <c r="E31" s="37">
        <v>60</v>
      </c>
      <c r="F31" s="390">
        <v>60</v>
      </c>
      <c r="G31" s="349">
        <f t="shared" si="1"/>
        <v>100</v>
      </c>
      <c r="H31" s="845">
        <v>255000</v>
      </c>
      <c r="I31" s="845">
        <v>255000</v>
      </c>
      <c r="J31" s="847">
        <f>I31/H31*100</f>
        <v>100</v>
      </c>
    </row>
    <row r="32" spans="1:13" x14ac:dyDescent="0.2">
      <c r="A32" s="465"/>
      <c r="B32" s="465"/>
      <c r="C32" s="465"/>
      <c r="D32" s="451"/>
      <c r="E32" s="866"/>
      <c r="F32" s="866"/>
      <c r="G32" s="866"/>
      <c r="H32" s="866"/>
      <c r="I32" s="866"/>
      <c r="J32" s="866"/>
    </row>
    <row r="33" spans="1:10" x14ac:dyDescent="0.2">
      <c r="A33" s="465"/>
      <c r="B33" s="465"/>
      <c r="C33" s="465"/>
      <c r="D33" s="451"/>
      <c r="E33" s="866"/>
      <c r="F33" s="866"/>
      <c r="G33" s="866"/>
      <c r="H33" s="866"/>
      <c r="I33" s="866"/>
      <c r="J33" s="866"/>
    </row>
    <row r="34" spans="1:10" x14ac:dyDescent="0.2">
      <c r="A34" s="3"/>
      <c r="C34" s="3"/>
      <c r="E34" s="867"/>
      <c r="F34" s="867"/>
      <c r="G34" s="867"/>
      <c r="H34" s="867"/>
      <c r="I34" s="867"/>
      <c r="J34" s="867"/>
    </row>
    <row r="35" spans="1:10" x14ac:dyDescent="0.2">
      <c r="A35" s="3"/>
      <c r="C35" s="3"/>
      <c r="E35" s="867"/>
      <c r="F35" s="867"/>
      <c r="G35" s="867"/>
      <c r="H35" s="867"/>
      <c r="I35" s="867"/>
      <c r="J35" s="867"/>
    </row>
    <row r="36" spans="1:10" x14ac:dyDescent="0.2">
      <c r="A36" s="3"/>
      <c r="C36" s="3"/>
      <c r="E36" s="867"/>
      <c r="F36" s="867"/>
      <c r="G36" s="867"/>
      <c r="H36" s="867"/>
      <c r="I36" s="867"/>
      <c r="J36" s="867"/>
    </row>
    <row r="37" spans="1:10" x14ac:dyDescent="0.2">
      <c r="A37" s="3"/>
      <c r="C37" s="3"/>
      <c r="E37" s="867"/>
      <c r="F37" s="867"/>
      <c r="G37" s="867"/>
      <c r="H37" s="867"/>
      <c r="I37" s="867"/>
      <c r="J37" s="867"/>
    </row>
    <row r="38" spans="1:10" x14ac:dyDescent="0.2">
      <c r="A38" s="3"/>
      <c r="C38" s="3"/>
      <c r="E38" s="867"/>
      <c r="F38" s="867"/>
      <c r="G38" s="867"/>
      <c r="H38" s="867"/>
      <c r="I38" s="867"/>
      <c r="J38" s="867"/>
    </row>
    <row r="39" spans="1:10" x14ac:dyDescent="0.2">
      <c r="A39" s="3"/>
      <c r="C39" s="3"/>
      <c r="E39" s="867"/>
      <c r="F39" s="867"/>
      <c r="G39" s="867"/>
      <c r="H39" s="867"/>
      <c r="I39" s="867"/>
      <c r="J39" s="867"/>
    </row>
    <row r="40" spans="1:10" x14ac:dyDescent="0.2">
      <c r="A40" s="3"/>
      <c r="C40" s="3"/>
      <c r="E40" s="867"/>
      <c r="F40" s="867"/>
      <c r="G40" s="867"/>
      <c r="H40" s="867"/>
      <c r="I40" s="867"/>
      <c r="J40" s="867"/>
    </row>
    <row r="41" spans="1:10" x14ac:dyDescent="0.2">
      <c r="A41" s="3"/>
      <c r="C41" s="3"/>
    </row>
    <row r="42" spans="1:10" x14ac:dyDescent="0.2">
      <c r="A42" s="3"/>
      <c r="C42" s="3"/>
    </row>
    <row r="43" spans="1:10" x14ac:dyDescent="0.2">
      <c r="A43" s="3"/>
      <c r="C43" s="3"/>
    </row>
    <row r="44" spans="1:10" x14ac:dyDescent="0.2">
      <c r="A44" s="3"/>
      <c r="C44" s="3"/>
    </row>
    <row r="45" spans="1:10" x14ac:dyDescent="0.2">
      <c r="A45" s="3"/>
      <c r="C45" s="3"/>
    </row>
    <row r="46" spans="1:10" x14ac:dyDescent="0.2">
      <c r="A46" s="3"/>
      <c r="C46" s="3"/>
    </row>
    <row r="47" spans="1:10" x14ac:dyDescent="0.2">
      <c r="A47" s="3"/>
      <c r="C47" s="3"/>
    </row>
    <row r="48" spans="1:10" x14ac:dyDescent="0.2">
      <c r="A48" s="3"/>
      <c r="C48" s="3"/>
    </row>
    <row r="49" spans="4:10" s="3" customFormat="1" x14ac:dyDescent="0.2">
      <c r="D49" s="159"/>
      <c r="E49" s="65"/>
      <c r="F49" s="159"/>
      <c r="G49" s="159"/>
      <c r="H49" s="65"/>
      <c r="I49" s="65"/>
      <c r="J49" s="65"/>
    </row>
    <row r="50" spans="4:10" s="3" customFormat="1" x14ac:dyDescent="0.2">
      <c r="D50" s="159"/>
      <c r="E50" s="65"/>
      <c r="F50" s="159"/>
      <c r="G50" s="159"/>
      <c r="H50" s="65"/>
      <c r="I50" s="65"/>
      <c r="J50" s="65"/>
    </row>
    <row r="51" spans="4:10" s="3" customFormat="1" x14ac:dyDescent="0.2">
      <c r="D51" s="159"/>
      <c r="E51" s="65"/>
      <c r="F51" s="159"/>
      <c r="G51" s="159"/>
      <c r="H51" s="65"/>
      <c r="I51" s="65"/>
      <c r="J51" s="65"/>
    </row>
    <row r="52" spans="4:10" s="3" customFormat="1" x14ac:dyDescent="0.2">
      <c r="D52" s="159"/>
      <c r="E52" s="65"/>
      <c r="F52" s="159"/>
      <c r="G52" s="159"/>
      <c r="H52" s="65"/>
      <c r="I52" s="65"/>
      <c r="J52" s="65"/>
    </row>
    <row r="53" spans="4:10" s="3" customFormat="1" x14ac:dyDescent="0.2">
      <c r="D53" s="159"/>
      <c r="E53" s="65"/>
      <c r="F53" s="159"/>
      <c r="G53" s="159"/>
      <c r="H53" s="65"/>
      <c r="I53" s="65"/>
      <c r="J53" s="65"/>
    </row>
    <row r="54" spans="4:10" s="3" customFormat="1" x14ac:dyDescent="0.2">
      <c r="D54" s="159"/>
      <c r="E54" s="65"/>
      <c r="F54" s="159"/>
      <c r="G54" s="159"/>
      <c r="H54" s="65"/>
      <c r="I54" s="65"/>
      <c r="J54" s="65"/>
    </row>
    <row r="55" spans="4:10" s="3" customFormat="1" x14ac:dyDescent="0.2">
      <c r="D55" s="159"/>
      <c r="E55" s="65"/>
      <c r="F55" s="159"/>
      <c r="G55" s="159"/>
      <c r="H55" s="65"/>
      <c r="I55" s="65"/>
      <c r="J55" s="65"/>
    </row>
    <row r="56" spans="4:10" s="3" customFormat="1" x14ac:dyDescent="0.2">
      <c r="D56" s="159"/>
      <c r="E56" s="65"/>
      <c r="F56" s="159"/>
      <c r="G56" s="159"/>
      <c r="H56" s="65"/>
      <c r="I56" s="65"/>
      <c r="J56" s="65"/>
    </row>
    <row r="57" spans="4:10" s="3" customFormat="1" x14ac:dyDescent="0.2">
      <c r="D57" s="159"/>
      <c r="E57" s="65"/>
      <c r="F57" s="159"/>
      <c r="G57" s="159"/>
      <c r="H57" s="65"/>
      <c r="I57" s="65"/>
      <c r="J57" s="65"/>
    </row>
    <row r="58" spans="4:10" s="3" customFormat="1" x14ac:dyDescent="0.2">
      <c r="D58" s="159"/>
      <c r="E58" s="65"/>
      <c r="F58" s="159"/>
      <c r="G58" s="159"/>
      <c r="H58" s="65"/>
      <c r="I58" s="65"/>
      <c r="J58" s="65"/>
    </row>
    <row r="59" spans="4:10" s="3" customFormat="1" x14ac:dyDescent="0.2">
      <c r="D59" s="159"/>
      <c r="E59" s="65"/>
      <c r="F59" s="159"/>
      <c r="G59" s="159"/>
      <c r="H59" s="65"/>
      <c r="I59" s="65"/>
      <c r="J59" s="65"/>
    </row>
    <row r="60" spans="4:10" s="3" customFormat="1" x14ac:dyDescent="0.2">
      <c r="D60" s="159"/>
      <c r="E60" s="65"/>
      <c r="F60" s="159"/>
      <c r="G60" s="159"/>
      <c r="H60" s="65"/>
      <c r="I60" s="65"/>
      <c r="J60" s="65"/>
    </row>
    <row r="61" spans="4:10" s="3" customFormat="1" x14ac:dyDescent="0.2">
      <c r="D61" s="159"/>
      <c r="E61" s="65"/>
      <c r="F61" s="159"/>
      <c r="G61" s="159"/>
      <c r="H61" s="65"/>
      <c r="I61" s="65"/>
      <c r="J61" s="65"/>
    </row>
    <row r="62" spans="4:10" s="3" customFormat="1" x14ac:dyDescent="0.2">
      <c r="D62" s="159"/>
      <c r="E62" s="65"/>
      <c r="F62" s="159"/>
      <c r="G62" s="159"/>
      <c r="H62" s="65"/>
      <c r="I62" s="65"/>
      <c r="J62" s="65"/>
    </row>
    <row r="63" spans="4:10" s="3" customFormat="1" x14ac:dyDescent="0.2">
      <c r="D63" s="159"/>
      <c r="E63" s="65"/>
      <c r="F63" s="159"/>
      <c r="G63" s="159"/>
      <c r="H63" s="65"/>
      <c r="I63" s="65"/>
      <c r="J63" s="65"/>
    </row>
    <row r="64" spans="4:10" s="3" customFormat="1" x14ac:dyDescent="0.2">
      <c r="D64" s="159"/>
      <c r="E64" s="65"/>
      <c r="F64" s="159"/>
      <c r="G64" s="159"/>
      <c r="H64" s="65"/>
      <c r="I64" s="65"/>
      <c r="J64" s="65"/>
    </row>
    <row r="65" spans="4:10" s="3" customFormat="1" x14ac:dyDescent="0.2">
      <c r="D65" s="159"/>
      <c r="E65" s="65"/>
      <c r="F65" s="159"/>
      <c r="G65" s="159"/>
      <c r="H65" s="65"/>
      <c r="I65" s="65"/>
      <c r="J65" s="65"/>
    </row>
    <row r="66" spans="4:10" s="3" customFormat="1" x14ac:dyDescent="0.2">
      <c r="D66" s="159"/>
      <c r="E66" s="65"/>
      <c r="F66" s="159"/>
      <c r="G66" s="159"/>
      <c r="H66" s="65"/>
      <c r="I66" s="65"/>
      <c r="J66" s="65"/>
    </row>
    <row r="67" spans="4:10" s="3" customFormat="1" x14ac:dyDescent="0.2">
      <c r="D67" s="159"/>
      <c r="E67" s="65"/>
      <c r="F67" s="159"/>
      <c r="G67" s="159"/>
      <c r="H67" s="65"/>
      <c r="I67" s="65"/>
      <c r="J67" s="65"/>
    </row>
    <row r="68" spans="4:10" s="3" customFormat="1" x14ac:dyDescent="0.2">
      <c r="D68" s="159"/>
      <c r="E68" s="65"/>
      <c r="F68" s="159"/>
      <c r="G68" s="159"/>
      <c r="H68" s="65"/>
      <c r="I68" s="65"/>
      <c r="J68" s="65"/>
    </row>
    <row r="69" spans="4:10" s="3" customFormat="1" x14ac:dyDescent="0.2">
      <c r="D69" s="159"/>
      <c r="E69" s="65"/>
      <c r="F69" s="159"/>
      <c r="G69" s="159"/>
      <c r="H69" s="65"/>
      <c r="I69" s="65"/>
      <c r="J69" s="65"/>
    </row>
    <row r="70" spans="4:10" s="3" customFormat="1" x14ac:dyDescent="0.2">
      <c r="D70" s="159"/>
      <c r="E70" s="65"/>
      <c r="F70" s="159"/>
      <c r="G70" s="159"/>
      <c r="H70" s="65"/>
      <c r="I70" s="65"/>
      <c r="J70" s="65"/>
    </row>
    <row r="71" spans="4:10" s="3" customFormat="1" x14ac:dyDescent="0.2">
      <c r="D71" s="159"/>
      <c r="E71" s="65"/>
      <c r="F71" s="159"/>
      <c r="G71" s="159"/>
      <c r="H71" s="65"/>
      <c r="I71" s="65"/>
      <c r="J71" s="65"/>
    </row>
    <row r="72" spans="4:10" s="3" customFormat="1" x14ac:dyDescent="0.2">
      <c r="D72" s="159"/>
      <c r="E72" s="65"/>
      <c r="F72" s="159"/>
      <c r="G72" s="159"/>
      <c r="H72" s="65"/>
      <c r="I72" s="65"/>
      <c r="J72" s="65"/>
    </row>
    <row r="73" spans="4:10" s="3" customFormat="1" x14ac:dyDescent="0.2">
      <c r="D73" s="159"/>
      <c r="E73" s="65"/>
      <c r="F73" s="159"/>
      <c r="G73" s="159"/>
      <c r="H73" s="65"/>
      <c r="I73" s="65"/>
      <c r="J73" s="65"/>
    </row>
    <row r="74" spans="4:10" s="3" customFormat="1" x14ac:dyDescent="0.2">
      <c r="D74" s="159"/>
      <c r="E74" s="65"/>
      <c r="F74" s="159"/>
      <c r="G74" s="159"/>
      <c r="H74" s="65"/>
      <c r="I74" s="65"/>
      <c r="J74" s="65"/>
    </row>
    <row r="75" spans="4:10" s="3" customFormat="1" x14ac:dyDescent="0.2">
      <c r="D75" s="159"/>
      <c r="E75" s="65"/>
      <c r="F75" s="159"/>
      <c r="G75" s="159"/>
      <c r="H75" s="65"/>
      <c r="I75" s="65"/>
      <c r="J75" s="65"/>
    </row>
    <row r="76" spans="4:10" s="3" customFormat="1" x14ac:dyDescent="0.2">
      <c r="D76" s="159"/>
      <c r="E76" s="65"/>
      <c r="F76" s="159"/>
      <c r="G76" s="159"/>
      <c r="H76" s="65"/>
      <c r="I76" s="65"/>
      <c r="J76" s="65"/>
    </row>
    <row r="77" spans="4:10" s="3" customFormat="1" x14ac:dyDescent="0.2">
      <c r="D77" s="159"/>
      <c r="E77" s="65"/>
      <c r="F77" s="159"/>
      <c r="G77" s="159"/>
      <c r="H77" s="65"/>
      <c r="I77" s="65"/>
      <c r="J77" s="65"/>
    </row>
    <row r="78" spans="4:10" s="3" customFormat="1" x14ac:dyDescent="0.2">
      <c r="D78" s="159"/>
      <c r="E78" s="65"/>
      <c r="F78" s="159"/>
      <c r="G78" s="159"/>
      <c r="H78" s="65"/>
      <c r="I78" s="65"/>
      <c r="J78" s="65"/>
    </row>
    <row r="79" spans="4:10" s="3" customFormat="1" x14ac:dyDescent="0.2">
      <c r="D79" s="159"/>
      <c r="E79" s="65"/>
      <c r="F79" s="159"/>
      <c r="G79" s="159"/>
      <c r="H79" s="65"/>
      <c r="I79" s="65"/>
      <c r="J79" s="65"/>
    </row>
    <row r="80" spans="4:10" s="3" customFormat="1" x14ac:dyDescent="0.2">
      <c r="D80" s="159"/>
      <c r="E80" s="65"/>
      <c r="F80" s="159"/>
      <c r="G80" s="159"/>
      <c r="H80" s="65"/>
      <c r="I80" s="65"/>
      <c r="J80" s="65"/>
    </row>
    <row r="81" spans="4:10" s="3" customFormat="1" x14ac:dyDescent="0.2">
      <c r="D81" s="159"/>
      <c r="E81" s="65"/>
      <c r="F81" s="159"/>
      <c r="G81" s="159"/>
      <c r="H81" s="65"/>
      <c r="I81" s="65"/>
      <c r="J81" s="65"/>
    </row>
    <row r="82" spans="4:10" s="3" customFormat="1" x14ac:dyDescent="0.2">
      <c r="D82" s="159"/>
      <c r="E82" s="65"/>
      <c r="F82" s="159"/>
      <c r="G82" s="159"/>
      <c r="H82" s="65"/>
      <c r="I82" s="65"/>
      <c r="J82" s="65"/>
    </row>
    <row r="83" spans="4:10" s="3" customFormat="1" x14ac:dyDescent="0.2">
      <c r="D83" s="159"/>
      <c r="E83" s="65"/>
      <c r="F83" s="159"/>
      <c r="G83" s="159"/>
      <c r="H83" s="65"/>
      <c r="I83" s="65"/>
      <c r="J83" s="65"/>
    </row>
    <row r="84" spans="4:10" s="3" customFormat="1" x14ac:dyDescent="0.2">
      <c r="D84" s="159"/>
      <c r="E84" s="65"/>
      <c r="F84" s="159"/>
      <c r="G84" s="159"/>
      <c r="H84" s="65"/>
      <c r="I84" s="65"/>
      <c r="J84" s="65"/>
    </row>
    <row r="85" spans="4:10" s="3" customFormat="1" x14ac:dyDescent="0.2">
      <c r="D85" s="159"/>
      <c r="E85" s="65"/>
      <c r="F85" s="159"/>
      <c r="G85" s="159"/>
      <c r="H85" s="65"/>
      <c r="I85" s="65"/>
      <c r="J85" s="65"/>
    </row>
    <row r="86" spans="4:10" s="3" customFormat="1" x14ac:dyDescent="0.2">
      <c r="D86" s="159"/>
      <c r="E86" s="65"/>
      <c r="F86" s="159"/>
      <c r="G86" s="159"/>
      <c r="H86" s="65"/>
      <c r="I86" s="65"/>
      <c r="J86" s="65"/>
    </row>
    <row r="87" spans="4:10" s="3" customFormat="1" x14ac:dyDescent="0.2">
      <c r="D87" s="159"/>
      <c r="E87" s="65"/>
      <c r="F87" s="159"/>
      <c r="G87" s="159"/>
      <c r="H87" s="65"/>
      <c r="I87" s="65"/>
      <c r="J87" s="65"/>
    </row>
    <row r="88" spans="4:10" s="3" customFormat="1" x14ac:dyDescent="0.2">
      <c r="D88" s="159"/>
      <c r="E88" s="65"/>
      <c r="F88" s="159"/>
      <c r="G88" s="159"/>
      <c r="H88" s="65"/>
      <c r="I88" s="65"/>
      <c r="J88" s="65"/>
    </row>
    <row r="89" spans="4:10" s="3" customFormat="1" x14ac:dyDescent="0.2">
      <c r="D89" s="159"/>
      <c r="E89" s="65"/>
      <c r="F89" s="159"/>
      <c r="G89" s="159"/>
      <c r="H89" s="65"/>
      <c r="I89" s="65"/>
      <c r="J89" s="65"/>
    </row>
    <row r="90" spans="4:10" s="3" customFormat="1" x14ac:dyDescent="0.2">
      <c r="D90" s="159"/>
      <c r="E90" s="65"/>
      <c r="F90" s="159"/>
      <c r="G90" s="159"/>
      <c r="H90" s="65"/>
      <c r="I90" s="65"/>
      <c r="J90" s="65"/>
    </row>
    <row r="91" spans="4:10" s="3" customFormat="1" x14ac:dyDescent="0.2">
      <c r="D91" s="159"/>
      <c r="E91" s="65"/>
      <c r="F91" s="159"/>
      <c r="G91" s="159"/>
      <c r="H91" s="65"/>
      <c r="I91" s="65"/>
      <c r="J91" s="65"/>
    </row>
    <row r="92" spans="4:10" s="3" customFormat="1" x14ac:dyDescent="0.2">
      <c r="D92" s="159"/>
      <c r="E92" s="65"/>
      <c r="F92" s="159"/>
      <c r="G92" s="159"/>
      <c r="H92" s="65"/>
      <c r="I92" s="65"/>
      <c r="J92" s="65"/>
    </row>
    <row r="93" spans="4:10" s="3" customFormat="1" x14ac:dyDescent="0.2">
      <c r="D93" s="159"/>
      <c r="E93" s="65"/>
      <c r="F93" s="159"/>
      <c r="G93" s="159"/>
      <c r="H93" s="65"/>
      <c r="I93" s="65"/>
      <c r="J93" s="65"/>
    </row>
    <row r="94" spans="4:10" s="3" customFormat="1" x14ac:dyDescent="0.2">
      <c r="D94" s="159"/>
      <c r="E94" s="65"/>
      <c r="F94" s="159"/>
      <c r="G94" s="159"/>
      <c r="H94" s="65"/>
      <c r="I94" s="65"/>
      <c r="J94" s="65"/>
    </row>
    <row r="95" spans="4:10" s="3" customFormat="1" x14ac:dyDescent="0.2">
      <c r="D95" s="159"/>
      <c r="E95" s="65"/>
      <c r="F95" s="159"/>
      <c r="G95" s="159"/>
      <c r="H95" s="65"/>
      <c r="I95" s="65"/>
      <c r="J95" s="65"/>
    </row>
    <row r="96" spans="4:10" s="3" customFormat="1" x14ac:dyDescent="0.2">
      <c r="D96" s="159"/>
      <c r="E96" s="65"/>
      <c r="F96" s="159"/>
      <c r="G96" s="159"/>
      <c r="H96" s="65"/>
      <c r="I96" s="65"/>
      <c r="J96" s="65"/>
    </row>
    <row r="97" spans="4:10" s="3" customFormat="1" x14ac:dyDescent="0.2">
      <c r="D97" s="159"/>
      <c r="E97" s="65"/>
      <c r="F97" s="159"/>
      <c r="G97" s="159"/>
      <c r="H97" s="65"/>
      <c r="I97" s="65"/>
      <c r="J97" s="65"/>
    </row>
    <row r="98" spans="4:10" s="3" customFormat="1" x14ac:dyDescent="0.2">
      <c r="D98" s="159"/>
      <c r="E98" s="65"/>
      <c r="F98" s="159"/>
      <c r="G98" s="159"/>
      <c r="H98" s="65"/>
      <c r="I98" s="65"/>
      <c r="J98" s="65"/>
    </row>
    <row r="99" spans="4:10" s="3" customFormat="1" x14ac:dyDescent="0.2">
      <c r="D99" s="159"/>
      <c r="E99" s="65"/>
      <c r="F99" s="159"/>
      <c r="G99" s="159"/>
      <c r="H99" s="65"/>
      <c r="I99" s="65"/>
      <c r="J99" s="65"/>
    </row>
    <row r="100" spans="4:10" s="3" customFormat="1" x14ac:dyDescent="0.2">
      <c r="D100" s="159"/>
      <c r="E100" s="65"/>
      <c r="F100" s="159"/>
      <c r="G100" s="159"/>
      <c r="H100" s="65"/>
      <c r="I100" s="65"/>
      <c r="J100" s="65"/>
    </row>
  </sheetData>
  <mergeCells count="9">
    <mergeCell ref="H5:J5"/>
    <mergeCell ref="A3:J3"/>
    <mergeCell ref="A4:J4"/>
    <mergeCell ref="A7:B7"/>
    <mergeCell ref="A2:B2"/>
    <mergeCell ref="A5:A6"/>
    <mergeCell ref="B5:B6"/>
    <mergeCell ref="C5:C6"/>
    <mergeCell ref="D5:G5"/>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41"/>
  <sheetViews>
    <sheetView view="pageBreakPreview" topLeftCell="A7" zoomScale="60" zoomScaleNormal="100" workbookViewId="0">
      <selection activeCell="N15" sqref="N1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65" customWidth="1"/>
    <col min="6" max="6" width="11.7109375" style="159" customWidth="1"/>
    <col min="7" max="7" width="10.140625" style="159" customWidth="1"/>
    <col min="8" max="8" width="12.5703125" style="65" customWidth="1"/>
    <col min="9" max="9" width="13.42578125" style="65" customWidth="1"/>
    <col min="10" max="10" width="9.85546875" style="65" customWidth="1"/>
    <col min="11" max="16384" width="11.42578125" style="3"/>
  </cols>
  <sheetData>
    <row r="2" spans="1:10" ht="18" customHeight="1" x14ac:dyDescent="0.2">
      <c r="A2" s="982" t="s">
        <v>38</v>
      </c>
      <c r="B2" s="983"/>
      <c r="C2" s="1"/>
      <c r="D2" s="150"/>
      <c r="E2" s="61"/>
      <c r="F2" s="150"/>
      <c r="G2" s="150"/>
      <c r="H2" s="61"/>
      <c r="I2" s="61"/>
      <c r="J2" s="66"/>
    </row>
    <row r="3" spans="1:10" ht="19.5" customHeight="1" x14ac:dyDescent="0.2">
      <c r="A3" s="987" t="s">
        <v>33</v>
      </c>
      <c r="B3" s="988"/>
      <c r="C3" s="988"/>
      <c r="D3" s="988"/>
      <c r="E3" s="988"/>
      <c r="F3" s="988"/>
      <c r="G3" s="988"/>
      <c r="H3" s="988"/>
      <c r="I3" s="988"/>
      <c r="J3" s="989"/>
    </row>
    <row r="4" spans="1:10" ht="22.5" customHeight="1" x14ac:dyDescent="0.2">
      <c r="A4" s="1075" t="s">
        <v>1289</v>
      </c>
      <c r="B4" s="1076"/>
      <c r="C4" s="1076"/>
      <c r="D4" s="1076"/>
      <c r="E4" s="1076"/>
      <c r="F4" s="1076"/>
      <c r="G4" s="1076"/>
      <c r="H4" s="1076"/>
      <c r="I4" s="1076"/>
      <c r="J4" s="1077"/>
    </row>
    <row r="5" spans="1:10" ht="18" customHeight="1" x14ac:dyDescent="0.2">
      <c r="A5" s="984" t="s">
        <v>0</v>
      </c>
      <c r="B5" s="984" t="s">
        <v>1</v>
      </c>
      <c r="C5" s="984" t="s">
        <v>2</v>
      </c>
      <c r="D5" s="990" t="s">
        <v>1440</v>
      </c>
      <c r="E5" s="990"/>
      <c r="F5" s="990"/>
      <c r="G5" s="990"/>
      <c r="H5" s="990" t="s">
        <v>1441</v>
      </c>
      <c r="I5" s="990"/>
      <c r="J5" s="990"/>
    </row>
    <row r="6" spans="1:10" ht="27.75" customHeight="1" x14ac:dyDescent="0.2">
      <c r="A6" s="984"/>
      <c r="B6" s="984"/>
      <c r="C6" s="984"/>
      <c r="D6" s="587" t="s">
        <v>3</v>
      </c>
      <c r="E6" s="587" t="s">
        <v>4</v>
      </c>
      <c r="F6" s="587" t="s">
        <v>1298</v>
      </c>
      <c r="G6" s="587" t="s">
        <v>1439</v>
      </c>
      <c r="H6" s="587" t="s">
        <v>1297</v>
      </c>
      <c r="I6" s="587" t="s">
        <v>1298</v>
      </c>
      <c r="J6" s="587" t="s">
        <v>1439</v>
      </c>
    </row>
    <row r="7" spans="1:10" ht="21.6" customHeight="1" x14ac:dyDescent="0.2">
      <c r="A7" s="985" t="s">
        <v>2288</v>
      </c>
      <c r="B7" s="985"/>
      <c r="C7" s="161"/>
      <c r="D7" s="161"/>
      <c r="E7" s="63"/>
      <c r="F7" s="63"/>
      <c r="G7" s="63"/>
      <c r="H7" s="325">
        <f>SUM(H8:H10)</f>
        <v>2692773</v>
      </c>
      <c r="I7" s="320">
        <f>SUM(I8:I10)</f>
        <v>1105639</v>
      </c>
      <c r="J7" s="320">
        <f t="shared" ref="J7:J40" si="0">+I7/H7*100</f>
        <v>41.059495174676812</v>
      </c>
    </row>
    <row r="8" spans="1:10" ht="21.6" customHeight="1" x14ac:dyDescent="0.2">
      <c r="A8" s="43">
        <v>1</v>
      </c>
      <c r="B8" s="485" t="s">
        <v>2286</v>
      </c>
      <c r="C8" s="183" t="s">
        <v>40</v>
      </c>
      <c r="D8" s="183" t="s">
        <v>611</v>
      </c>
      <c r="E8" s="63"/>
      <c r="F8" s="63"/>
      <c r="G8" s="847"/>
      <c r="H8" s="845">
        <v>100000</v>
      </c>
      <c r="I8" s="847">
        <v>67481</v>
      </c>
      <c r="J8" s="847">
        <f t="shared" ref="J8:J13" si="1">+I8/H8*100</f>
        <v>67.481000000000009</v>
      </c>
    </row>
    <row r="9" spans="1:10" ht="21.6" customHeight="1" x14ac:dyDescent="0.2">
      <c r="A9" s="43">
        <v>2</v>
      </c>
      <c r="B9" s="485" t="s">
        <v>2287</v>
      </c>
      <c r="C9" s="183" t="s">
        <v>40</v>
      </c>
      <c r="D9" s="183" t="s">
        <v>611</v>
      </c>
      <c r="E9" s="63"/>
      <c r="F9" s="63"/>
      <c r="G9" s="847"/>
      <c r="H9" s="845">
        <v>1839814</v>
      </c>
      <c r="I9" s="847">
        <v>720717</v>
      </c>
      <c r="J9" s="847">
        <f t="shared" si="1"/>
        <v>39.173362089863431</v>
      </c>
    </row>
    <row r="10" spans="1:10" ht="21.6" customHeight="1" x14ac:dyDescent="0.2">
      <c r="A10" s="43">
        <v>3</v>
      </c>
      <c r="B10" s="485" t="s">
        <v>2283</v>
      </c>
      <c r="C10" s="183" t="s">
        <v>46</v>
      </c>
      <c r="D10" s="183" t="s">
        <v>466</v>
      </c>
      <c r="E10" s="63"/>
      <c r="F10" s="63"/>
      <c r="G10" s="847"/>
      <c r="H10" s="845">
        <v>752959</v>
      </c>
      <c r="I10" s="847">
        <v>317441</v>
      </c>
      <c r="J10" s="847">
        <f t="shared" si="1"/>
        <v>42.159134826730273</v>
      </c>
    </row>
    <row r="11" spans="1:10" ht="26.25" customHeight="1" x14ac:dyDescent="0.2">
      <c r="A11" s="985" t="s">
        <v>1179</v>
      </c>
      <c r="B11" s="985"/>
      <c r="C11" s="18"/>
      <c r="D11" s="163"/>
      <c r="E11" s="25"/>
      <c r="F11" s="25"/>
      <c r="G11" s="25"/>
      <c r="H11" s="67">
        <f>SUM(H12:H13)</f>
        <v>786392</v>
      </c>
      <c r="I11" s="81">
        <f>SUM(I12:I13)</f>
        <v>312631</v>
      </c>
      <c r="J11" s="320">
        <f t="shared" si="1"/>
        <v>39.755109411082515</v>
      </c>
    </row>
    <row r="12" spans="1:10" ht="21.6" customHeight="1" x14ac:dyDescent="0.2">
      <c r="A12" s="43">
        <v>1</v>
      </c>
      <c r="B12" s="485" t="s">
        <v>2286</v>
      </c>
      <c r="C12" s="183" t="s">
        <v>40</v>
      </c>
      <c r="D12" s="183" t="s">
        <v>611</v>
      </c>
      <c r="E12" s="63">
        <v>6</v>
      </c>
      <c r="F12" s="63">
        <v>4</v>
      </c>
      <c r="G12" s="847">
        <f>+F12/E12*100</f>
        <v>66.666666666666657</v>
      </c>
      <c r="H12" s="845">
        <v>692648</v>
      </c>
      <c r="I12" s="847">
        <v>228715</v>
      </c>
      <c r="J12" s="847">
        <f t="shared" si="1"/>
        <v>33.020379759993531</v>
      </c>
    </row>
    <row r="13" spans="1:10" ht="21.6" customHeight="1" x14ac:dyDescent="0.2">
      <c r="A13" s="43">
        <v>2</v>
      </c>
      <c r="B13" s="485" t="s">
        <v>2283</v>
      </c>
      <c r="C13" s="183" t="s">
        <v>40</v>
      </c>
      <c r="D13" s="183" t="s">
        <v>611</v>
      </c>
      <c r="E13" s="63">
        <v>3</v>
      </c>
      <c r="F13" s="63">
        <v>1</v>
      </c>
      <c r="G13" s="847">
        <f>+F13/E13*100</f>
        <v>33.333333333333329</v>
      </c>
      <c r="H13" s="845">
        <v>93744</v>
      </c>
      <c r="I13" s="847">
        <v>83916</v>
      </c>
      <c r="J13" s="847">
        <f t="shared" si="1"/>
        <v>89.516129032258064</v>
      </c>
    </row>
    <row r="14" spans="1:10" ht="40.5" customHeight="1" x14ac:dyDescent="0.2">
      <c r="A14" s="985" t="s">
        <v>1081</v>
      </c>
      <c r="B14" s="985"/>
      <c r="C14" s="161"/>
      <c r="D14" s="161"/>
      <c r="E14" s="63"/>
      <c r="F14" s="63"/>
      <c r="G14" s="63"/>
      <c r="H14" s="325">
        <f>SUM(H15:H18)</f>
        <v>1357264</v>
      </c>
      <c r="I14" s="320">
        <f>SUM(I15:I18)</f>
        <v>1023008</v>
      </c>
      <c r="J14" s="320">
        <f t="shared" si="0"/>
        <v>75.372808827169962</v>
      </c>
    </row>
    <row r="15" spans="1:10" ht="40.5" customHeight="1" x14ac:dyDescent="0.2">
      <c r="A15" s="43">
        <v>1</v>
      </c>
      <c r="B15" s="485" t="s">
        <v>1444</v>
      </c>
      <c r="C15" s="183" t="s">
        <v>40</v>
      </c>
      <c r="D15" s="183" t="s">
        <v>611</v>
      </c>
      <c r="E15" s="63"/>
      <c r="F15" s="63"/>
      <c r="G15" s="63"/>
      <c r="H15" s="845">
        <v>430577</v>
      </c>
      <c r="I15" s="847">
        <v>211258</v>
      </c>
      <c r="J15" s="527">
        <f t="shared" si="0"/>
        <v>49.063930493268337</v>
      </c>
    </row>
    <row r="16" spans="1:10" ht="65.25" customHeight="1" x14ac:dyDescent="0.2">
      <c r="A16" s="43">
        <v>3</v>
      </c>
      <c r="B16" s="485" t="s">
        <v>1444</v>
      </c>
      <c r="C16" s="183" t="s">
        <v>40</v>
      </c>
      <c r="D16" s="183" t="s">
        <v>611</v>
      </c>
      <c r="E16" s="63"/>
      <c r="F16" s="63"/>
      <c r="G16" s="63"/>
      <c r="H16" s="845">
        <f>354250+19902</f>
        <v>374152</v>
      </c>
      <c r="I16" s="847">
        <f>146520+123490</f>
        <v>270010</v>
      </c>
      <c r="J16" s="527">
        <f>+I16/H16*100</f>
        <v>72.165857726271682</v>
      </c>
    </row>
    <row r="17" spans="1:10" ht="21.6" customHeight="1" x14ac:dyDescent="0.2">
      <c r="A17" s="43">
        <v>2</v>
      </c>
      <c r="B17" s="485" t="s">
        <v>2285</v>
      </c>
      <c r="C17" s="183" t="s">
        <v>40</v>
      </c>
      <c r="D17" s="183" t="s">
        <v>611</v>
      </c>
      <c r="E17" s="63"/>
      <c r="F17" s="63"/>
      <c r="G17" s="63"/>
      <c r="H17" s="845">
        <v>400000</v>
      </c>
      <c r="I17" s="847">
        <v>395220</v>
      </c>
      <c r="J17" s="527">
        <f>+I17/H17*100</f>
        <v>98.804999999999993</v>
      </c>
    </row>
    <row r="18" spans="1:10" ht="21.6" customHeight="1" x14ac:dyDescent="0.2">
      <c r="A18" s="43">
        <v>2</v>
      </c>
      <c r="B18" s="485" t="s">
        <v>2283</v>
      </c>
      <c r="C18" s="183" t="s">
        <v>40</v>
      </c>
      <c r="D18" s="183" t="s">
        <v>466</v>
      </c>
      <c r="E18" s="63"/>
      <c r="F18" s="63"/>
      <c r="G18" s="63"/>
      <c r="H18" s="845">
        <v>152535</v>
      </c>
      <c r="I18" s="847">
        <v>146520</v>
      </c>
      <c r="J18" s="527">
        <f>+I18/H18*100</f>
        <v>96.056642737732318</v>
      </c>
    </row>
    <row r="19" spans="1:10" ht="21.6" customHeight="1" x14ac:dyDescent="0.2">
      <c r="A19" s="985" t="s">
        <v>1178</v>
      </c>
      <c r="B19" s="985"/>
      <c r="C19" s="161"/>
      <c r="D19" s="161"/>
      <c r="E19" s="63"/>
      <c r="F19" s="63"/>
      <c r="G19" s="63"/>
      <c r="H19" s="325">
        <f>SUM(H20:H22)</f>
        <v>1431287</v>
      </c>
      <c r="I19" s="320">
        <f>SUM(I20:I22)</f>
        <v>997084</v>
      </c>
      <c r="J19" s="320">
        <f t="shared" si="0"/>
        <v>69.663456735092268</v>
      </c>
    </row>
    <row r="20" spans="1:10" ht="21.6" customHeight="1" x14ac:dyDescent="0.2">
      <c r="A20" s="43">
        <v>1</v>
      </c>
      <c r="B20" s="485" t="s">
        <v>1444</v>
      </c>
      <c r="C20" s="183" t="s">
        <v>40</v>
      </c>
      <c r="D20" s="183" t="s">
        <v>611</v>
      </c>
      <c r="E20" s="63"/>
      <c r="F20" s="63"/>
      <c r="G20" s="63"/>
      <c r="H20" s="845">
        <v>1085216</v>
      </c>
      <c r="I20" s="847">
        <v>662539</v>
      </c>
      <c r="J20" s="527">
        <f t="shared" si="0"/>
        <v>61.051348303010641</v>
      </c>
    </row>
    <row r="21" spans="1:10" ht="28.5" customHeight="1" x14ac:dyDescent="0.2">
      <c r="A21" s="43"/>
      <c r="B21" s="593" t="s">
        <v>2284</v>
      </c>
      <c r="C21" s="183" t="s">
        <v>40</v>
      </c>
      <c r="D21" s="183" t="s">
        <v>611</v>
      </c>
      <c r="E21" s="63"/>
      <c r="F21" s="63"/>
      <c r="G21" s="63"/>
      <c r="H21" s="845">
        <v>81020</v>
      </c>
      <c r="I21" s="847">
        <v>73047</v>
      </c>
      <c r="J21" s="527">
        <f t="shared" si="0"/>
        <v>90.159219945692428</v>
      </c>
    </row>
    <row r="22" spans="1:10" ht="21.6" customHeight="1" x14ac:dyDescent="0.2">
      <c r="A22" s="43">
        <v>2</v>
      </c>
      <c r="B22" s="485" t="s">
        <v>2283</v>
      </c>
      <c r="C22" s="183" t="s">
        <v>40</v>
      </c>
      <c r="D22" s="183" t="s">
        <v>466</v>
      </c>
      <c r="E22" s="63"/>
      <c r="F22" s="63"/>
      <c r="G22" s="63"/>
      <c r="H22" s="845">
        <v>265051</v>
      </c>
      <c r="I22" s="847">
        <v>261498</v>
      </c>
      <c r="J22" s="527">
        <f t="shared" si="0"/>
        <v>98.659503265409299</v>
      </c>
    </row>
    <row r="23" spans="1:10" ht="21.6" customHeight="1" x14ac:dyDescent="0.2">
      <c r="A23" s="985" t="s">
        <v>1617</v>
      </c>
      <c r="B23" s="985"/>
      <c r="C23" s="161"/>
      <c r="D23" s="487"/>
      <c r="E23" s="63"/>
      <c r="F23" s="63"/>
      <c r="G23" s="63"/>
      <c r="H23" s="325">
        <f>+H24</f>
        <v>361037</v>
      </c>
      <c r="I23" s="320">
        <f>+I24</f>
        <v>231912.05</v>
      </c>
      <c r="J23" s="320">
        <f t="shared" si="0"/>
        <v>64.234981456194234</v>
      </c>
    </row>
    <row r="24" spans="1:10" ht="21.6" customHeight="1" x14ac:dyDescent="0.2">
      <c r="A24" s="43">
        <v>1</v>
      </c>
      <c r="B24" s="485" t="s">
        <v>1444</v>
      </c>
      <c r="C24" s="183" t="s">
        <v>40</v>
      </c>
      <c r="D24" s="183" t="s">
        <v>611</v>
      </c>
      <c r="E24" s="63"/>
      <c r="F24" s="63"/>
      <c r="G24" s="63"/>
      <c r="H24" s="845">
        <v>361037</v>
      </c>
      <c r="I24" s="847">
        <v>231912.05</v>
      </c>
      <c r="J24" s="527">
        <f t="shared" si="0"/>
        <v>64.234981456194234</v>
      </c>
    </row>
    <row r="25" spans="1:10" ht="21.6" customHeight="1" x14ac:dyDescent="0.2">
      <c r="A25" s="985" t="s">
        <v>1447</v>
      </c>
      <c r="B25" s="985"/>
      <c r="C25" s="161"/>
      <c r="D25" s="487"/>
      <c r="E25" s="63"/>
      <c r="F25" s="63"/>
      <c r="G25" s="63"/>
      <c r="H25" s="325">
        <f>SUM(H26:H29)</f>
        <v>1652979</v>
      </c>
      <c r="I25" s="320">
        <f>SUM(I26:I29)</f>
        <v>1166147.78</v>
      </c>
      <c r="J25" s="320">
        <f t="shared" si="0"/>
        <v>70.548251369194645</v>
      </c>
    </row>
    <row r="26" spans="1:10" ht="21.6" customHeight="1" x14ac:dyDescent="0.2">
      <c r="A26" s="43">
        <v>1</v>
      </c>
      <c r="B26" s="485" t="s">
        <v>1444</v>
      </c>
      <c r="C26" s="183" t="s">
        <v>40</v>
      </c>
      <c r="D26" s="183" t="s">
        <v>611</v>
      </c>
      <c r="E26" s="845">
        <v>4</v>
      </c>
      <c r="F26" s="63">
        <v>3</v>
      </c>
      <c r="G26" s="527">
        <f>+F26/E26*100</f>
        <v>75</v>
      </c>
      <c r="H26" s="845">
        <v>187000</v>
      </c>
      <c r="I26" s="847">
        <v>187000</v>
      </c>
      <c r="J26" s="527">
        <f t="shared" si="0"/>
        <v>100</v>
      </c>
    </row>
    <row r="27" spans="1:10" ht="21.6" customHeight="1" x14ac:dyDescent="0.2">
      <c r="A27" s="43">
        <v>2</v>
      </c>
      <c r="B27" s="485" t="s">
        <v>1444</v>
      </c>
      <c r="C27" s="183" t="s">
        <v>40</v>
      </c>
      <c r="D27" s="183" t="s">
        <v>611</v>
      </c>
      <c r="E27" s="845">
        <v>4</v>
      </c>
      <c r="F27" s="63">
        <v>3</v>
      </c>
      <c r="G27" s="527">
        <f>+F27/E27*100</f>
        <v>75</v>
      </c>
      <c r="H27" s="845">
        <v>292192</v>
      </c>
      <c r="I27" s="847">
        <v>292192</v>
      </c>
      <c r="J27" s="527">
        <f t="shared" si="0"/>
        <v>100</v>
      </c>
    </row>
    <row r="28" spans="1:10" ht="21.6" customHeight="1" x14ac:dyDescent="0.2">
      <c r="A28" s="43">
        <v>3</v>
      </c>
      <c r="B28" s="485" t="s">
        <v>1444</v>
      </c>
      <c r="C28" s="183" t="s">
        <v>40</v>
      </c>
      <c r="D28" s="183" t="s">
        <v>611</v>
      </c>
      <c r="E28" s="845">
        <v>6</v>
      </c>
      <c r="F28" s="63">
        <v>2</v>
      </c>
      <c r="G28" s="527">
        <f>+F28/E28*100</f>
        <v>33.333333333333329</v>
      </c>
      <c r="H28" s="845">
        <v>1004779</v>
      </c>
      <c r="I28" s="847">
        <v>526048.64</v>
      </c>
      <c r="J28" s="527">
        <f t="shared" si="0"/>
        <v>52.354661074723893</v>
      </c>
    </row>
    <row r="29" spans="1:10" ht="21.6" customHeight="1" x14ac:dyDescent="0.2">
      <c r="A29" s="43">
        <v>4</v>
      </c>
      <c r="B29" s="485" t="s">
        <v>1444</v>
      </c>
      <c r="C29" s="183" t="s">
        <v>40</v>
      </c>
      <c r="D29" s="183" t="s">
        <v>611</v>
      </c>
      <c r="E29" s="845">
        <v>3</v>
      </c>
      <c r="F29" s="63">
        <v>1</v>
      </c>
      <c r="G29" s="527">
        <f>+F29/E29*100</f>
        <v>33.333333333333329</v>
      </c>
      <c r="H29" s="845">
        <v>169008</v>
      </c>
      <c r="I29" s="847">
        <v>160907.14000000001</v>
      </c>
      <c r="J29" s="527">
        <f t="shared" si="0"/>
        <v>95.206818612136715</v>
      </c>
    </row>
    <row r="30" spans="1:10" ht="21.6" customHeight="1" x14ac:dyDescent="0.2">
      <c r="A30" s="985" t="s">
        <v>1449</v>
      </c>
      <c r="B30" s="985"/>
      <c r="C30" s="161"/>
      <c r="D30" s="487"/>
      <c r="E30" s="63"/>
      <c r="F30" s="63"/>
      <c r="G30" s="63"/>
      <c r="H30" s="325">
        <f>SUM(H31:H33)</f>
        <v>1921406</v>
      </c>
      <c r="I30" s="320">
        <f>SUM(I31:I33)</f>
        <v>1891275.84</v>
      </c>
      <c r="J30" s="320">
        <f t="shared" si="0"/>
        <v>98.431869162477909</v>
      </c>
    </row>
    <row r="31" spans="1:10" ht="21.6" customHeight="1" x14ac:dyDescent="0.2">
      <c r="A31" s="43">
        <v>1</v>
      </c>
      <c r="B31" s="485" t="s">
        <v>1444</v>
      </c>
      <c r="C31" s="183" t="s">
        <v>40</v>
      </c>
      <c r="D31" s="183" t="s">
        <v>611</v>
      </c>
      <c r="E31" s="63"/>
      <c r="F31" s="63"/>
      <c r="G31" s="63"/>
      <c r="H31" s="845">
        <v>769475</v>
      </c>
      <c r="I31" s="847">
        <v>759922.78</v>
      </c>
      <c r="J31" s="527">
        <f t="shared" si="0"/>
        <v>98.758605542740185</v>
      </c>
    </row>
    <row r="32" spans="1:10" ht="21.6" customHeight="1" x14ac:dyDescent="0.2">
      <c r="A32" s="43">
        <v>2</v>
      </c>
      <c r="B32" s="485" t="s">
        <v>1444</v>
      </c>
      <c r="C32" s="183" t="s">
        <v>40</v>
      </c>
      <c r="D32" s="183" t="s">
        <v>611</v>
      </c>
      <c r="E32" s="63"/>
      <c r="F32" s="63"/>
      <c r="G32" s="63"/>
      <c r="H32" s="845">
        <v>100000</v>
      </c>
      <c r="I32" s="847">
        <v>100000</v>
      </c>
      <c r="J32" s="847">
        <f t="shared" si="0"/>
        <v>100</v>
      </c>
    </row>
    <row r="33" spans="1:10" ht="21.6" customHeight="1" x14ac:dyDescent="0.2">
      <c r="A33" s="43">
        <v>3</v>
      </c>
      <c r="B33" s="485" t="s">
        <v>1444</v>
      </c>
      <c r="C33" s="183" t="s">
        <v>40</v>
      </c>
      <c r="D33" s="183" t="s">
        <v>611</v>
      </c>
      <c r="E33" s="63"/>
      <c r="F33" s="63"/>
      <c r="G33" s="63"/>
      <c r="H33" s="845">
        <v>1051931</v>
      </c>
      <c r="I33" s="847">
        <v>1031353.06</v>
      </c>
      <c r="J33" s="847">
        <f t="shared" si="0"/>
        <v>98.043793746928273</v>
      </c>
    </row>
    <row r="34" spans="1:10" ht="21.6" customHeight="1" x14ac:dyDescent="0.2">
      <c r="A34" s="985" t="s">
        <v>1479</v>
      </c>
      <c r="B34" s="985"/>
      <c r="C34" s="161"/>
      <c r="D34" s="487"/>
      <c r="E34" s="63"/>
      <c r="F34" s="63"/>
      <c r="G34" s="63"/>
      <c r="H34" s="325">
        <f>SUM(H35:H36)</f>
        <v>695547</v>
      </c>
      <c r="I34" s="320">
        <f>SUM(I35:I36)</f>
        <v>525314.66</v>
      </c>
      <c r="J34" s="320">
        <f t="shared" si="0"/>
        <v>75.525400871544264</v>
      </c>
    </row>
    <row r="35" spans="1:10" ht="21.6" customHeight="1" x14ac:dyDescent="0.2">
      <c r="A35" s="43">
        <v>1</v>
      </c>
      <c r="B35" s="485" t="s">
        <v>1444</v>
      </c>
      <c r="C35" s="183" t="s">
        <v>40</v>
      </c>
      <c r="D35" s="183" t="s">
        <v>611</v>
      </c>
      <c r="E35" s="63"/>
      <c r="F35" s="63"/>
      <c r="G35" s="63"/>
      <c r="H35" s="845">
        <v>110000</v>
      </c>
      <c r="I35" s="847">
        <v>102177.95</v>
      </c>
      <c r="J35" s="847">
        <f t="shared" si="0"/>
        <v>92.889045454545453</v>
      </c>
    </row>
    <row r="36" spans="1:10" ht="21.6" customHeight="1" x14ac:dyDescent="0.2">
      <c r="A36" s="43">
        <v>2</v>
      </c>
      <c r="B36" s="485" t="s">
        <v>1444</v>
      </c>
      <c r="C36" s="183" t="s">
        <v>40</v>
      </c>
      <c r="D36" s="183" t="s">
        <v>611</v>
      </c>
      <c r="E36" s="63"/>
      <c r="F36" s="63"/>
      <c r="G36" s="63"/>
      <c r="H36" s="845">
        <v>585547</v>
      </c>
      <c r="I36" s="847">
        <v>423136.71</v>
      </c>
      <c r="J36" s="847">
        <f t="shared" si="0"/>
        <v>72.263492085178484</v>
      </c>
    </row>
    <row r="37" spans="1:10" ht="21.6" customHeight="1" x14ac:dyDescent="0.2">
      <c r="A37" s="985" t="s">
        <v>1614</v>
      </c>
      <c r="B37" s="985"/>
      <c r="C37" s="161"/>
      <c r="D37" s="487"/>
      <c r="E37" s="63"/>
      <c r="F37" s="63"/>
      <c r="G37" s="63"/>
      <c r="H37" s="325">
        <f>SUM(H38:H40)</f>
        <v>1787750</v>
      </c>
      <c r="I37" s="320">
        <f>SUM(I38:I40)</f>
        <v>1139053.4300000002</v>
      </c>
      <c r="J37" s="320">
        <f t="shared" si="0"/>
        <v>63.714357712208091</v>
      </c>
    </row>
    <row r="38" spans="1:10" ht="21.6" customHeight="1" x14ac:dyDescent="0.2">
      <c r="A38" s="43">
        <v>1</v>
      </c>
      <c r="B38" s="485" t="s">
        <v>1444</v>
      </c>
      <c r="C38" s="183" t="s">
        <v>40</v>
      </c>
      <c r="D38" s="183" t="s">
        <v>611</v>
      </c>
      <c r="E38" s="63"/>
      <c r="F38" s="63"/>
      <c r="G38" s="63"/>
      <c r="H38" s="845">
        <v>1061177</v>
      </c>
      <c r="I38" s="847">
        <v>1006490.42</v>
      </c>
      <c r="J38" s="847">
        <f t="shared" si="0"/>
        <v>94.846610885837151</v>
      </c>
    </row>
    <row r="39" spans="1:10" ht="21.6" customHeight="1" x14ac:dyDescent="0.2">
      <c r="A39" s="43">
        <v>2</v>
      </c>
      <c r="B39" s="485" t="s">
        <v>1444</v>
      </c>
      <c r="C39" s="183" t="s">
        <v>40</v>
      </c>
      <c r="D39" s="183" t="s">
        <v>611</v>
      </c>
      <c r="E39" s="63"/>
      <c r="F39" s="63"/>
      <c r="G39" s="63"/>
      <c r="H39" s="845">
        <v>719573</v>
      </c>
      <c r="I39" s="847">
        <v>131649.51</v>
      </c>
      <c r="J39" s="847">
        <f t="shared" si="0"/>
        <v>18.295504417202981</v>
      </c>
    </row>
    <row r="40" spans="1:10" ht="21.6" customHeight="1" x14ac:dyDescent="0.2">
      <c r="A40" s="43">
        <v>3</v>
      </c>
      <c r="B40" s="485" t="s">
        <v>1444</v>
      </c>
      <c r="C40" s="183" t="s">
        <v>40</v>
      </c>
      <c r="D40" s="183" t="s">
        <v>611</v>
      </c>
      <c r="E40" s="63"/>
      <c r="F40" s="63"/>
      <c r="G40" s="63"/>
      <c r="H40" s="845">
        <v>7000</v>
      </c>
      <c r="I40" s="847">
        <v>913.5</v>
      </c>
      <c r="J40" s="847">
        <f t="shared" si="0"/>
        <v>13.05</v>
      </c>
    </row>
    <row r="41" spans="1:10" x14ac:dyDescent="0.2">
      <c r="C41" s="3"/>
      <c r="D41" s="3"/>
    </row>
  </sheetData>
  <mergeCells count="17">
    <mergeCell ref="A2:B2"/>
    <mergeCell ref="A5:A6"/>
    <mergeCell ref="B5:B6"/>
    <mergeCell ref="A11:B11"/>
    <mergeCell ref="A30:B30"/>
    <mergeCell ref="A34:B34"/>
    <mergeCell ref="A37:B37"/>
    <mergeCell ref="A23:B23"/>
    <mergeCell ref="A25:B25"/>
    <mergeCell ref="A19:B19"/>
    <mergeCell ref="C5:C6"/>
    <mergeCell ref="A14:B14"/>
    <mergeCell ref="H5:J5"/>
    <mergeCell ref="A3:J3"/>
    <mergeCell ref="A4:J4"/>
    <mergeCell ref="A7:B7"/>
    <mergeCell ref="D5:G5"/>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rowBreaks count="1" manualBreakCount="1">
    <brk id="24"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6" tint="0.79998168889431442"/>
  </sheetPr>
  <dimension ref="A2:J667"/>
  <sheetViews>
    <sheetView showZeros="0" tabSelected="1" view="pageBreakPreview" zoomScaleNormal="100" zoomScaleSheetLayoutView="100" workbookViewId="0">
      <pane ySplit="6" topLeftCell="A55" activePane="bottomLeft" state="frozen"/>
      <selection activeCell="N15" sqref="N15"/>
      <selection pane="bottomLeft" activeCell="B8" sqref="B8"/>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0" ht="18" customHeight="1" x14ac:dyDescent="0.2">
      <c r="A2" s="982" t="s">
        <v>18</v>
      </c>
      <c r="B2" s="983"/>
      <c r="C2" s="1"/>
      <c r="D2" s="150"/>
      <c r="E2" s="574"/>
      <c r="F2" s="150"/>
      <c r="G2" s="150"/>
      <c r="H2" s="271"/>
      <c r="I2" s="271"/>
      <c r="J2" s="2"/>
    </row>
    <row r="3" spans="1:10" ht="19.5" customHeight="1" x14ac:dyDescent="0.2">
      <c r="A3" s="987" t="s">
        <v>9</v>
      </c>
      <c r="B3" s="988"/>
      <c r="C3" s="988"/>
      <c r="D3" s="988"/>
      <c r="E3" s="988"/>
      <c r="F3" s="988"/>
      <c r="G3" s="988"/>
      <c r="H3" s="988"/>
      <c r="I3" s="988"/>
      <c r="J3" s="989"/>
    </row>
    <row r="4" spans="1:10" ht="18" customHeight="1" x14ac:dyDescent="0.2">
      <c r="A4" s="987" t="s">
        <v>14</v>
      </c>
      <c r="B4" s="988"/>
      <c r="C4" s="988"/>
      <c r="D4" s="988"/>
      <c r="E4" s="988"/>
      <c r="F4" s="988"/>
      <c r="G4" s="988"/>
      <c r="H4" s="988"/>
      <c r="I4" s="988"/>
      <c r="J4" s="989"/>
    </row>
    <row r="5" spans="1:10" ht="18" customHeight="1" x14ac:dyDescent="0.2">
      <c r="A5" s="984" t="s">
        <v>0</v>
      </c>
      <c r="B5" s="984" t="s">
        <v>1</v>
      </c>
      <c r="C5" s="984" t="s">
        <v>2</v>
      </c>
      <c r="D5" s="990" t="s">
        <v>1440</v>
      </c>
      <c r="E5" s="990"/>
      <c r="F5" s="990"/>
      <c r="G5" s="990"/>
      <c r="H5" s="990" t="s">
        <v>1441</v>
      </c>
      <c r="I5" s="990"/>
      <c r="J5" s="990"/>
    </row>
    <row r="6" spans="1:10" ht="31.5" customHeight="1" x14ac:dyDescent="0.2">
      <c r="A6" s="984"/>
      <c r="B6" s="984"/>
      <c r="C6" s="984"/>
      <c r="D6" s="575" t="s">
        <v>3</v>
      </c>
      <c r="E6" s="575" t="s">
        <v>4</v>
      </c>
      <c r="F6" s="575" t="s">
        <v>1298</v>
      </c>
      <c r="G6" s="575" t="s">
        <v>1439</v>
      </c>
      <c r="H6" s="575" t="s">
        <v>1297</v>
      </c>
      <c r="I6" s="575" t="s">
        <v>1298</v>
      </c>
      <c r="J6" s="575" t="s">
        <v>1439</v>
      </c>
    </row>
    <row r="7" spans="1:10" ht="18.95" customHeight="1" x14ac:dyDescent="0.2">
      <c r="A7" s="9" t="s">
        <v>216</v>
      </c>
      <c r="B7" s="10"/>
      <c r="C7" s="160"/>
      <c r="D7" s="160"/>
      <c r="E7" s="864"/>
      <c r="F7" s="864"/>
      <c r="G7" s="864"/>
      <c r="H7" s="864"/>
      <c r="I7" s="864"/>
      <c r="J7" s="864"/>
    </row>
    <row r="8" spans="1:10" ht="18.95" customHeight="1" x14ac:dyDescent="0.2">
      <c r="A8" s="13"/>
      <c r="B8" s="412" t="s">
        <v>39</v>
      </c>
      <c r="C8" s="161"/>
      <c r="D8" s="161"/>
      <c r="E8" s="63"/>
      <c r="F8" s="63"/>
      <c r="G8" s="63"/>
      <c r="H8" s="478">
        <f>+H9+H21+H35</f>
        <v>1887959</v>
      </c>
      <c r="I8" s="393">
        <f>+I9+I21+I35</f>
        <v>1860750.7</v>
      </c>
      <c r="J8" s="314">
        <f>+I8/H8*100</f>
        <v>98.558851119118586</v>
      </c>
    </row>
    <row r="9" spans="1:10" ht="18.95" customHeight="1" x14ac:dyDescent="0.2">
      <c r="A9" s="291"/>
      <c r="B9" s="283" t="s">
        <v>1496</v>
      </c>
      <c r="C9" s="292" t="s">
        <v>40</v>
      </c>
      <c r="D9" s="554"/>
      <c r="E9" s="589"/>
      <c r="F9" s="589"/>
      <c r="G9" s="589"/>
      <c r="H9" s="123">
        <f>+H10+H13+H15+H17+H19</f>
        <v>1589345</v>
      </c>
      <c r="I9" s="288">
        <f>+I10+I13+I15+I17+I19</f>
        <v>1589344.36</v>
      </c>
      <c r="J9" s="303">
        <f>+I9/H9*100</f>
        <v>99.999959731839226</v>
      </c>
    </row>
    <row r="10" spans="1:10" ht="27" customHeight="1" x14ac:dyDescent="0.2">
      <c r="A10" s="43">
        <v>1</v>
      </c>
      <c r="B10" s="284" t="s">
        <v>1507</v>
      </c>
      <c r="C10" s="183"/>
      <c r="D10" s="183"/>
      <c r="E10" s="63"/>
      <c r="F10" s="63"/>
      <c r="G10" s="63"/>
      <c r="H10" s="289">
        <f>+SUM(H11:H12)</f>
        <v>249800</v>
      </c>
      <c r="I10" s="287">
        <f>+SUM(I11:I12)</f>
        <v>249800</v>
      </c>
      <c r="J10" s="290">
        <f>+I10/H10*100</f>
        <v>100</v>
      </c>
    </row>
    <row r="11" spans="1:10" ht="18.95" customHeight="1" x14ac:dyDescent="0.2">
      <c r="A11" s="542" t="s">
        <v>1497</v>
      </c>
      <c r="B11" s="285" t="s">
        <v>1498</v>
      </c>
      <c r="C11" s="607" t="s">
        <v>40</v>
      </c>
      <c r="D11" s="293" t="s">
        <v>41</v>
      </c>
      <c r="E11" s="852">
        <v>550</v>
      </c>
      <c r="F11" s="37">
        <v>478</v>
      </c>
      <c r="G11" s="290">
        <f>+F11/E11*100</f>
        <v>86.909090909090907</v>
      </c>
      <c r="H11" s="798">
        <v>215000</v>
      </c>
      <c r="I11" s="777">
        <v>215000</v>
      </c>
      <c r="J11" s="290">
        <f>+I11/H11*100</f>
        <v>100</v>
      </c>
    </row>
    <row r="12" spans="1:10" ht="27.75" customHeight="1" x14ac:dyDescent="0.2">
      <c r="A12" s="542" t="s">
        <v>1499</v>
      </c>
      <c r="B12" s="285" t="s">
        <v>1500</v>
      </c>
      <c r="C12" s="607" t="s">
        <v>40</v>
      </c>
      <c r="D12" s="294" t="s">
        <v>1510</v>
      </c>
      <c r="E12" s="852">
        <v>13</v>
      </c>
      <c r="F12" s="853">
        <v>13</v>
      </c>
      <c r="G12" s="290">
        <f>+F12/E12*100</f>
        <v>100</v>
      </c>
      <c r="H12" s="799">
        <v>34800</v>
      </c>
      <c r="I12" s="777">
        <v>34800</v>
      </c>
      <c r="J12" s="290">
        <f t="shared" ref="J12:J20" si="0">+I12/H12*100</f>
        <v>100</v>
      </c>
    </row>
    <row r="13" spans="1:10" ht="27" customHeight="1" x14ac:dyDescent="0.2">
      <c r="A13" s="43">
        <v>2</v>
      </c>
      <c r="B13" s="284" t="s">
        <v>1618</v>
      </c>
      <c r="C13" s="183"/>
      <c r="D13" s="183"/>
      <c r="E13" s="63"/>
      <c r="F13" s="63"/>
      <c r="G13" s="847"/>
      <c r="H13" s="289">
        <f>+H14</f>
        <v>1295000</v>
      </c>
      <c r="I13" s="287">
        <f>+I14</f>
        <v>1295000</v>
      </c>
      <c r="J13" s="303">
        <f t="shared" si="0"/>
        <v>100</v>
      </c>
    </row>
    <row r="14" spans="1:10" ht="25.5" customHeight="1" x14ac:dyDescent="0.2">
      <c r="A14" s="542">
        <v>2.1</v>
      </c>
      <c r="B14" s="285" t="s">
        <v>1501</v>
      </c>
      <c r="C14" s="607" t="s">
        <v>40</v>
      </c>
      <c r="D14" s="293" t="s">
        <v>41</v>
      </c>
      <c r="E14" s="852">
        <v>550</v>
      </c>
      <c r="F14" s="37">
        <v>478</v>
      </c>
      <c r="G14" s="290">
        <f>+F14/E14*100</f>
        <v>86.909090909090907</v>
      </c>
      <c r="H14" s="799">
        <v>1295000</v>
      </c>
      <c r="I14" s="777">
        <v>1295000</v>
      </c>
      <c r="J14" s="290">
        <f t="shared" si="0"/>
        <v>100</v>
      </c>
    </row>
    <row r="15" spans="1:10" ht="27.75" customHeight="1" x14ac:dyDescent="0.2">
      <c r="A15" s="43">
        <v>3</v>
      </c>
      <c r="B15" s="14" t="s">
        <v>1508</v>
      </c>
      <c r="C15" s="183"/>
      <c r="D15" s="183"/>
      <c r="E15" s="63"/>
      <c r="F15" s="63"/>
      <c r="G15" s="847"/>
      <c r="H15" s="123">
        <f>+H16</f>
        <v>7800</v>
      </c>
      <c r="I15" s="288">
        <f>+I16</f>
        <v>7800</v>
      </c>
      <c r="J15" s="303">
        <f t="shared" si="0"/>
        <v>100</v>
      </c>
    </row>
    <row r="16" spans="1:10" ht="18.95" customHeight="1" x14ac:dyDescent="0.2">
      <c r="A16" s="542">
        <v>3.1</v>
      </c>
      <c r="B16" s="15" t="s">
        <v>1502</v>
      </c>
      <c r="C16" s="607" t="s">
        <v>40</v>
      </c>
      <c r="D16" s="292" t="s">
        <v>1511</v>
      </c>
      <c r="E16" s="783">
        <v>1</v>
      </c>
      <c r="F16" s="37">
        <v>1</v>
      </c>
      <c r="G16" s="290">
        <f>+F16/E16*100</f>
        <v>100</v>
      </c>
      <c r="H16" s="122">
        <v>7800</v>
      </c>
      <c r="I16" s="777">
        <v>7800</v>
      </c>
      <c r="J16" s="290">
        <f t="shared" si="0"/>
        <v>100</v>
      </c>
    </row>
    <row r="17" spans="1:10" ht="17.25" customHeight="1" x14ac:dyDescent="0.2">
      <c r="A17" s="43">
        <v>4</v>
      </c>
      <c r="B17" s="14" t="s">
        <v>1509</v>
      </c>
      <c r="C17" s="161"/>
      <c r="D17" s="161"/>
      <c r="E17" s="63"/>
      <c r="F17" s="63"/>
      <c r="G17" s="847"/>
      <c r="H17" s="123">
        <f>+H18</f>
        <v>36000</v>
      </c>
      <c r="I17" s="288">
        <f>+I18</f>
        <v>36000</v>
      </c>
      <c r="J17" s="303">
        <f t="shared" si="0"/>
        <v>100</v>
      </c>
    </row>
    <row r="18" spans="1:10" ht="20.25" customHeight="1" x14ac:dyDescent="0.2">
      <c r="A18" s="542" t="s">
        <v>1503</v>
      </c>
      <c r="B18" s="15" t="s">
        <v>1504</v>
      </c>
      <c r="C18" s="607" t="s">
        <v>40</v>
      </c>
      <c r="D18" s="292" t="s">
        <v>1512</v>
      </c>
      <c r="E18" s="783">
        <v>1</v>
      </c>
      <c r="F18" s="37">
        <v>1</v>
      </c>
      <c r="G18" s="290">
        <f>+F18/E18*100</f>
        <v>100</v>
      </c>
      <c r="H18" s="122">
        <v>36000</v>
      </c>
      <c r="I18" s="777">
        <v>36000</v>
      </c>
      <c r="J18" s="290">
        <f t="shared" si="0"/>
        <v>100</v>
      </c>
    </row>
    <row r="19" spans="1:10" ht="18.75" customHeight="1" x14ac:dyDescent="0.2">
      <c r="A19" s="43">
        <v>5</v>
      </c>
      <c r="B19" s="284" t="s">
        <v>471</v>
      </c>
      <c r="C19" s="183"/>
      <c r="D19" s="183"/>
      <c r="E19" s="63"/>
      <c r="F19" s="63"/>
      <c r="G19" s="847"/>
      <c r="H19" s="289">
        <f>+H20</f>
        <v>745</v>
      </c>
      <c r="I19" s="287">
        <f>+I20</f>
        <v>744.36</v>
      </c>
      <c r="J19" s="303">
        <f t="shared" si="0"/>
        <v>99.914093959731545</v>
      </c>
    </row>
    <row r="20" spans="1:10" ht="21.75" customHeight="1" x14ac:dyDescent="0.2">
      <c r="A20" s="542">
        <v>5.0999999999999996</v>
      </c>
      <c r="B20" s="285" t="s">
        <v>1505</v>
      </c>
      <c r="C20" s="607" t="s">
        <v>40</v>
      </c>
      <c r="D20" s="293" t="s">
        <v>1513</v>
      </c>
      <c r="E20" s="854">
        <v>1</v>
      </c>
      <c r="F20" s="37">
        <v>1</v>
      </c>
      <c r="G20" s="290">
        <f>+F20/E20*100</f>
        <v>100</v>
      </c>
      <c r="H20" s="799">
        <v>745</v>
      </c>
      <c r="I20" s="800">
        <v>744.36</v>
      </c>
      <c r="J20" s="290">
        <f t="shared" si="0"/>
        <v>99.914093959731545</v>
      </c>
    </row>
    <row r="21" spans="1:10" ht="18.95" customHeight="1" x14ac:dyDescent="0.2">
      <c r="A21" s="13"/>
      <c r="B21" s="283" t="s">
        <v>1506</v>
      </c>
      <c r="C21" s="607"/>
      <c r="D21" s="607"/>
      <c r="E21" s="122"/>
      <c r="F21" s="390"/>
      <c r="G21" s="390"/>
      <c r="H21" s="123">
        <f>SUM(H22:H34)</f>
        <v>204254</v>
      </c>
      <c r="I21" s="288">
        <f>SUM(I22:I34)</f>
        <v>177049.9</v>
      </c>
      <c r="J21" s="801">
        <f>+I21/H21*100</f>
        <v>86.681240024675148</v>
      </c>
    </row>
    <row r="22" spans="1:10" ht="63.75" customHeight="1" x14ac:dyDescent="0.2">
      <c r="A22" s="13"/>
      <c r="B22" s="819" t="s">
        <v>2307</v>
      </c>
      <c r="C22" s="821" t="s">
        <v>40</v>
      </c>
      <c r="D22" s="820" t="s">
        <v>192</v>
      </c>
      <c r="E22" s="854">
        <v>1</v>
      </c>
      <c r="F22" s="37">
        <v>1</v>
      </c>
      <c r="G22" s="290">
        <f>+F22/E22*100</f>
        <v>100</v>
      </c>
      <c r="H22" s="847">
        <v>20063</v>
      </c>
      <c r="I22" s="847">
        <v>14642.99</v>
      </c>
      <c r="J22" s="290">
        <f>+I22/H22*100</f>
        <v>72.98504710162986</v>
      </c>
    </row>
    <row r="23" spans="1:10" ht="53.25" customHeight="1" x14ac:dyDescent="0.2">
      <c r="A23" s="13"/>
      <c r="B23" s="576" t="s">
        <v>2308</v>
      </c>
      <c r="C23" s="821" t="s">
        <v>40</v>
      </c>
      <c r="D23" s="820" t="s">
        <v>192</v>
      </c>
      <c r="E23" s="854">
        <v>1</v>
      </c>
      <c r="F23" s="37">
        <v>1</v>
      </c>
      <c r="G23" s="290">
        <f t="shared" ref="G23:G34" si="1">+F23/E23*100</f>
        <v>100</v>
      </c>
      <c r="H23" s="847">
        <v>30123</v>
      </c>
      <c r="I23" s="847">
        <v>27349.989999999998</v>
      </c>
      <c r="J23" s="290">
        <f t="shared" ref="J23:J34" si="2">+I23/H23*100</f>
        <v>90.794376390133777</v>
      </c>
    </row>
    <row r="24" spans="1:10" ht="53.25" customHeight="1" x14ac:dyDescent="0.2">
      <c r="A24" s="13"/>
      <c r="B24" s="819" t="s">
        <v>2309</v>
      </c>
      <c r="C24" s="821" t="s">
        <v>40</v>
      </c>
      <c r="D24" s="820" t="s">
        <v>192</v>
      </c>
      <c r="E24" s="854">
        <v>1</v>
      </c>
      <c r="F24" s="37">
        <v>1</v>
      </c>
      <c r="G24" s="290">
        <f t="shared" si="1"/>
        <v>100</v>
      </c>
      <c r="H24" s="847">
        <v>10069</v>
      </c>
      <c r="I24" s="847">
        <v>10068.799999999999</v>
      </c>
      <c r="J24" s="290">
        <f t="shared" si="2"/>
        <v>99.998013705432513</v>
      </c>
    </row>
    <row r="25" spans="1:10" ht="53.25" customHeight="1" x14ac:dyDescent="0.2">
      <c r="A25" s="13"/>
      <c r="B25" s="576" t="s">
        <v>2310</v>
      </c>
      <c r="C25" s="821" t="s">
        <v>40</v>
      </c>
      <c r="D25" s="820" t="s">
        <v>192</v>
      </c>
      <c r="E25" s="854">
        <v>1</v>
      </c>
      <c r="F25" s="37">
        <v>1</v>
      </c>
      <c r="G25" s="290">
        <f t="shared" si="1"/>
        <v>100</v>
      </c>
      <c r="H25" s="847">
        <v>20933</v>
      </c>
      <c r="I25" s="847">
        <v>17492.990000000002</v>
      </c>
      <c r="J25" s="290">
        <f t="shared" si="2"/>
        <v>83.566569531361964</v>
      </c>
    </row>
    <row r="26" spans="1:10" ht="55.5" customHeight="1" x14ac:dyDescent="0.2">
      <c r="A26" s="13"/>
      <c r="B26" s="576" t="s">
        <v>2311</v>
      </c>
      <c r="C26" s="821" t="s">
        <v>40</v>
      </c>
      <c r="D26" s="820" t="s">
        <v>192</v>
      </c>
      <c r="E26" s="854">
        <v>1</v>
      </c>
      <c r="F26" s="37">
        <v>1</v>
      </c>
      <c r="G26" s="290">
        <f t="shared" si="1"/>
        <v>100</v>
      </c>
      <c r="H26" s="847">
        <v>1520</v>
      </c>
      <c r="I26" s="847">
        <v>1519.31</v>
      </c>
      <c r="J26" s="290">
        <f t="shared" si="2"/>
        <v>99.954605263157887</v>
      </c>
    </row>
    <row r="27" spans="1:10" ht="53.25" customHeight="1" x14ac:dyDescent="0.2">
      <c r="A27" s="13"/>
      <c r="B27" s="819" t="s">
        <v>2312</v>
      </c>
      <c r="C27" s="821" t="s">
        <v>40</v>
      </c>
      <c r="D27" s="820" t="s">
        <v>192</v>
      </c>
      <c r="E27" s="854">
        <v>1</v>
      </c>
      <c r="F27" s="37">
        <v>1</v>
      </c>
      <c r="G27" s="290">
        <f t="shared" si="1"/>
        <v>100</v>
      </c>
      <c r="H27" s="847">
        <v>20133</v>
      </c>
      <c r="I27" s="847">
        <v>17517.990000000002</v>
      </c>
      <c r="J27" s="290">
        <f t="shared" si="2"/>
        <v>87.011324690806148</v>
      </c>
    </row>
    <row r="28" spans="1:10" ht="53.25" customHeight="1" x14ac:dyDescent="0.2">
      <c r="A28" s="13"/>
      <c r="B28" s="576" t="s">
        <v>2313</v>
      </c>
      <c r="C28" s="821" t="s">
        <v>40</v>
      </c>
      <c r="D28" s="820" t="s">
        <v>192</v>
      </c>
      <c r="E28" s="854">
        <v>1</v>
      </c>
      <c r="F28" s="37">
        <v>1</v>
      </c>
      <c r="G28" s="290">
        <f t="shared" si="1"/>
        <v>100</v>
      </c>
      <c r="H28" s="847">
        <v>21223</v>
      </c>
      <c r="I28" s="847">
        <v>17308.89</v>
      </c>
      <c r="J28" s="290">
        <f t="shared" si="2"/>
        <v>81.557225651415905</v>
      </c>
    </row>
    <row r="29" spans="1:10" ht="54.75" customHeight="1" x14ac:dyDescent="0.2">
      <c r="A29" s="13"/>
      <c r="B29" s="576" t="s">
        <v>2313</v>
      </c>
      <c r="C29" s="821" t="s">
        <v>40</v>
      </c>
      <c r="D29" s="820" t="s">
        <v>192</v>
      </c>
      <c r="E29" s="854">
        <v>1</v>
      </c>
      <c r="F29" s="37">
        <v>1</v>
      </c>
      <c r="G29" s="290">
        <f t="shared" si="1"/>
        <v>100</v>
      </c>
      <c r="H29" s="847">
        <v>11010</v>
      </c>
      <c r="I29" s="847">
        <v>11009.49</v>
      </c>
      <c r="J29" s="290">
        <f t="shared" si="2"/>
        <v>99.995367847411444</v>
      </c>
    </row>
    <row r="30" spans="1:10" ht="53.25" customHeight="1" x14ac:dyDescent="0.2">
      <c r="A30" s="13"/>
      <c r="B30" s="819" t="s">
        <v>2316</v>
      </c>
      <c r="C30" s="821" t="s">
        <v>40</v>
      </c>
      <c r="D30" s="820" t="s">
        <v>192</v>
      </c>
      <c r="E30" s="854">
        <v>1</v>
      </c>
      <c r="F30" s="37">
        <v>1</v>
      </c>
      <c r="G30" s="290">
        <f t="shared" si="1"/>
        <v>100</v>
      </c>
      <c r="H30" s="847">
        <v>16343</v>
      </c>
      <c r="I30" s="847">
        <v>14642.99</v>
      </c>
      <c r="J30" s="290">
        <f t="shared" si="2"/>
        <v>89.597931836260173</v>
      </c>
    </row>
    <row r="31" spans="1:10" ht="53.25" customHeight="1" x14ac:dyDescent="0.2">
      <c r="A31" s="13"/>
      <c r="B31" s="576" t="s">
        <v>2315</v>
      </c>
      <c r="C31" s="821" t="s">
        <v>40</v>
      </c>
      <c r="D31" s="820" t="s">
        <v>192</v>
      </c>
      <c r="E31" s="854">
        <v>1</v>
      </c>
      <c r="F31" s="37">
        <v>1</v>
      </c>
      <c r="G31" s="290">
        <f t="shared" si="1"/>
        <v>100</v>
      </c>
      <c r="H31" s="847">
        <v>16843</v>
      </c>
      <c r="I31" s="847">
        <v>15132.99</v>
      </c>
      <c r="J31" s="290">
        <f t="shared" si="2"/>
        <v>89.84735498426646</v>
      </c>
    </row>
    <row r="32" spans="1:10" ht="53.25" customHeight="1" x14ac:dyDescent="0.2">
      <c r="A32" s="13"/>
      <c r="B32" s="576" t="s">
        <v>2315</v>
      </c>
      <c r="C32" s="821" t="s">
        <v>40</v>
      </c>
      <c r="D32" s="820" t="s">
        <v>192</v>
      </c>
      <c r="E32" s="854">
        <v>1</v>
      </c>
      <c r="F32" s="37">
        <v>1</v>
      </c>
      <c r="G32" s="290">
        <f t="shared" si="1"/>
        <v>100</v>
      </c>
      <c r="H32" s="847">
        <v>8478</v>
      </c>
      <c r="I32" s="847">
        <v>8477.57</v>
      </c>
      <c r="J32" s="290">
        <f t="shared" si="2"/>
        <v>99.994928049068179</v>
      </c>
    </row>
    <row r="33" spans="1:10" ht="53.25" customHeight="1" x14ac:dyDescent="0.2">
      <c r="A33" s="13"/>
      <c r="B33" s="819" t="s">
        <v>2317</v>
      </c>
      <c r="C33" s="821" t="s">
        <v>40</v>
      </c>
      <c r="D33" s="820" t="s">
        <v>192</v>
      </c>
      <c r="E33" s="854">
        <v>1</v>
      </c>
      <c r="F33" s="37">
        <v>1</v>
      </c>
      <c r="G33" s="290">
        <f t="shared" si="1"/>
        <v>100</v>
      </c>
      <c r="H33" s="847">
        <v>20243</v>
      </c>
      <c r="I33" s="847">
        <v>14612.99</v>
      </c>
      <c r="J33" s="290">
        <f t="shared" si="2"/>
        <v>72.187867410956869</v>
      </c>
    </row>
    <row r="34" spans="1:10" ht="57.75" customHeight="1" x14ac:dyDescent="0.2">
      <c r="A34" s="13"/>
      <c r="B34" s="819" t="s">
        <v>2314</v>
      </c>
      <c r="C34" s="821" t="s">
        <v>40</v>
      </c>
      <c r="D34" s="820" t="s">
        <v>192</v>
      </c>
      <c r="E34" s="854">
        <v>1</v>
      </c>
      <c r="F34" s="37">
        <v>1</v>
      </c>
      <c r="G34" s="290">
        <f t="shared" si="1"/>
        <v>100</v>
      </c>
      <c r="H34" s="847">
        <v>7273</v>
      </c>
      <c r="I34" s="847">
        <v>7272.91</v>
      </c>
      <c r="J34" s="290">
        <f t="shared" si="2"/>
        <v>99.998762546404507</v>
      </c>
    </row>
    <row r="35" spans="1:10" ht="19.5" customHeight="1" x14ac:dyDescent="0.2">
      <c r="A35" s="341"/>
      <c r="B35" s="35" t="s">
        <v>1687</v>
      </c>
      <c r="C35" s="168"/>
      <c r="D35" s="168"/>
      <c r="E35" s="486"/>
      <c r="F35" s="486"/>
      <c r="G35" s="486"/>
      <c r="H35" s="41">
        <f>+H36+H41+H43+H46+H49+H54</f>
        <v>94360</v>
      </c>
      <c r="I35" s="306">
        <f>+I36+I41+I43+I46+I49+I54</f>
        <v>94356.44</v>
      </c>
      <c r="J35" s="393">
        <f t="shared" ref="J35:J44" si="3">+I35/H35%</f>
        <v>99.996227214921575</v>
      </c>
    </row>
    <row r="36" spans="1:10" ht="21" customHeight="1" x14ac:dyDescent="0.2">
      <c r="A36" s="43">
        <v>1</v>
      </c>
      <c r="B36" s="12" t="s">
        <v>1688</v>
      </c>
      <c r="C36" s="466"/>
      <c r="D36" s="466"/>
      <c r="E36" s="855"/>
      <c r="F36" s="855"/>
      <c r="G36" s="467"/>
      <c r="H36" s="24">
        <f>+SUM(H37:H40)</f>
        <v>17374</v>
      </c>
      <c r="I36" s="318">
        <f>+SUM(I37:I40)</f>
        <v>17372.560000000001</v>
      </c>
      <c r="J36" s="318">
        <f>I36/H36%</f>
        <v>99.991711753194437</v>
      </c>
    </row>
    <row r="37" spans="1:10" ht="19.5" customHeight="1" x14ac:dyDescent="0.2">
      <c r="A37" s="568">
        <v>1.1000000000000001</v>
      </c>
      <c r="B37" s="19" t="s">
        <v>1689</v>
      </c>
      <c r="C37" s="164" t="s">
        <v>40</v>
      </c>
      <c r="D37" s="183" t="s">
        <v>1708</v>
      </c>
      <c r="E37" s="63">
        <v>2</v>
      </c>
      <c r="F37" s="63">
        <v>2</v>
      </c>
      <c r="G37" s="847">
        <f>+F37/E37%</f>
        <v>100</v>
      </c>
      <c r="H37" s="845">
        <v>1438</v>
      </c>
      <c r="I37" s="847">
        <v>1437.45</v>
      </c>
      <c r="J37" s="847">
        <f t="shared" si="3"/>
        <v>99.961752433936013</v>
      </c>
    </row>
    <row r="38" spans="1:10" ht="20.25" customHeight="1" x14ac:dyDescent="0.2">
      <c r="A38" s="568">
        <v>1.2</v>
      </c>
      <c r="B38" s="19" t="s">
        <v>1690</v>
      </c>
      <c r="C38" s="164" t="s">
        <v>40</v>
      </c>
      <c r="D38" s="183" t="s">
        <v>1708</v>
      </c>
      <c r="E38" s="63">
        <v>2</v>
      </c>
      <c r="F38" s="63">
        <v>2</v>
      </c>
      <c r="G38" s="847">
        <f t="shared" ref="G38:G57" si="4">+F38/E38%</f>
        <v>100</v>
      </c>
      <c r="H38" s="845">
        <v>676</v>
      </c>
      <c r="I38" s="847">
        <v>675.11</v>
      </c>
      <c r="J38" s="847">
        <f t="shared" si="3"/>
        <v>99.868343195266277</v>
      </c>
    </row>
    <row r="39" spans="1:10" ht="24" customHeight="1" x14ac:dyDescent="0.2">
      <c r="A39" s="568">
        <v>1.3</v>
      </c>
      <c r="B39" s="19" t="s">
        <v>1691</v>
      </c>
      <c r="C39" s="164" t="s">
        <v>40</v>
      </c>
      <c r="D39" s="183" t="s">
        <v>1709</v>
      </c>
      <c r="E39" s="63">
        <v>1</v>
      </c>
      <c r="F39" s="63">
        <v>1</v>
      </c>
      <c r="G39" s="847">
        <f t="shared" si="4"/>
        <v>100</v>
      </c>
      <c r="H39" s="845">
        <v>14302.67</v>
      </c>
      <c r="I39" s="847">
        <v>14302.67</v>
      </c>
      <c r="J39" s="847">
        <f t="shared" si="3"/>
        <v>100</v>
      </c>
    </row>
    <row r="40" spans="1:10" ht="21.75" customHeight="1" x14ac:dyDescent="0.2">
      <c r="A40" s="568">
        <v>1.4</v>
      </c>
      <c r="B40" s="19" t="s">
        <v>1692</v>
      </c>
      <c r="C40" s="164" t="s">
        <v>40</v>
      </c>
      <c r="D40" s="183" t="s">
        <v>1513</v>
      </c>
      <c r="E40" s="63">
        <v>1</v>
      </c>
      <c r="F40" s="63">
        <v>1</v>
      </c>
      <c r="G40" s="847">
        <f t="shared" si="4"/>
        <v>100</v>
      </c>
      <c r="H40" s="845">
        <v>957.33</v>
      </c>
      <c r="I40" s="847">
        <v>957.33</v>
      </c>
      <c r="J40" s="847">
        <f t="shared" si="3"/>
        <v>100.00000000000001</v>
      </c>
    </row>
    <row r="41" spans="1:10" ht="21" customHeight="1" x14ac:dyDescent="0.2">
      <c r="A41" s="43">
        <v>2</v>
      </c>
      <c r="B41" s="12" t="s">
        <v>1693</v>
      </c>
      <c r="C41" s="466" t="s">
        <v>40</v>
      </c>
      <c r="D41" s="372"/>
      <c r="E41" s="855"/>
      <c r="F41" s="855"/>
      <c r="G41" s="467"/>
      <c r="H41" s="24">
        <f>+SUM(H42)</f>
        <v>310</v>
      </c>
      <c r="I41" s="318">
        <f>+SUM(I42)</f>
        <v>310</v>
      </c>
      <c r="J41" s="318">
        <f>I41/H41%</f>
        <v>100</v>
      </c>
    </row>
    <row r="42" spans="1:10" ht="27.75" customHeight="1" x14ac:dyDescent="0.2">
      <c r="A42" s="568">
        <v>2.1</v>
      </c>
      <c r="B42" s="19" t="s">
        <v>1694</v>
      </c>
      <c r="C42" s="164" t="s">
        <v>40</v>
      </c>
      <c r="D42" s="164" t="s">
        <v>1707</v>
      </c>
      <c r="E42" s="63">
        <v>26</v>
      </c>
      <c r="F42" s="63">
        <v>13</v>
      </c>
      <c r="G42" s="847">
        <f t="shared" si="4"/>
        <v>50</v>
      </c>
      <c r="H42" s="845">
        <v>310</v>
      </c>
      <c r="I42" s="847">
        <v>310</v>
      </c>
      <c r="J42" s="847">
        <f t="shared" si="3"/>
        <v>100</v>
      </c>
    </row>
    <row r="43" spans="1:10" ht="30" customHeight="1" x14ac:dyDescent="0.2">
      <c r="A43" s="43">
        <v>3</v>
      </c>
      <c r="B43" s="12" t="s">
        <v>1695</v>
      </c>
      <c r="C43" s="466" t="s">
        <v>40</v>
      </c>
      <c r="D43" s="466"/>
      <c r="E43" s="855"/>
      <c r="F43" s="855"/>
      <c r="G43" s="467"/>
      <c r="H43" s="24">
        <f>+SUM(H44:H45)</f>
        <v>3833</v>
      </c>
      <c r="I43" s="318">
        <f>+SUM(I44:I45)</f>
        <v>3833</v>
      </c>
      <c r="J43" s="318">
        <f>I43/H43%</f>
        <v>100</v>
      </c>
    </row>
    <row r="44" spans="1:10" ht="25.5" customHeight="1" x14ac:dyDescent="0.2">
      <c r="A44" s="568">
        <v>3.1</v>
      </c>
      <c r="B44" s="19" t="s">
        <v>1696</v>
      </c>
      <c r="C44" s="164" t="s">
        <v>40</v>
      </c>
      <c r="D44" s="164" t="s">
        <v>222</v>
      </c>
      <c r="E44" s="63">
        <v>26</v>
      </c>
      <c r="F44" s="63">
        <v>13</v>
      </c>
      <c r="G44" s="847">
        <f t="shared" si="4"/>
        <v>50</v>
      </c>
      <c r="H44" s="845">
        <v>3833</v>
      </c>
      <c r="I44" s="847">
        <v>3833</v>
      </c>
      <c r="J44" s="847">
        <f t="shared" si="3"/>
        <v>100</v>
      </c>
    </row>
    <row r="45" spans="1:10" ht="26.25" customHeight="1" x14ac:dyDescent="0.2">
      <c r="A45" s="568">
        <v>3.2</v>
      </c>
      <c r="B45" s="19" t="s">
        <v>1697</v>
      </c>
      <c r="C45" s="164" t="s">
        <v>40</v>
      </c>
      <c r="D45" s="164" t="s">
        <v>90</v>
      </c>
      <c r="E45" s="63">
        <v>2</v>
      </c>
      <c r="F45" s="63">
        <v>2</v>
      </c>
      <c r="G45" s="847">
        <f t="shared" si="4"/>
        <v>100</v>
      </c>
      <c r="H45" s="845">
        <v>0</v>
      </c>
      <c r="I45" s="847">
        <v>0</v>
      </c>
      <c r="J45" s="467">
        <v>0</v>
      </c>
    </row>
    <row r="46" spans="1:10" ht="27.75" customHeight="1" x14ac:dyDescent="0.2">
      <c r="A46" s="43">
        <v>4</v>
      </c>
      <c r="B46" s="12" t="s">
        <v>1698</v>
      </c>
      <c r="C46" s="466" t="s">
        <v>40</v>
      </c>
      <c r="D46" s="466"/>
      <c r="E46" s="855"/>
      <c r="F46" s="855"/>
      <c r="G46" s="467"/>
      <c r="H46" s="24">
        <f>+SUM(H47:H48)</f>
        <v>16729.170000000002</v>
      </c>
      <c r="I46" s="318">
        <f>+SUM(I47:I48)</f>
        <v>16728.48</v>
      </c>
      <c r="J46" s="318">
        <f>I46/H46%</f>
        <v>99.995875467820568</v>
      </c>
    </row>
    <row r="47" spans="1:10" ht="21" customHeight="1" x14ac:dyDescent="0.2">
      <c r="A47" s="568">
        <v>4.0999999999999996</v>
      </c>
      <c r="B47" s="19" t="s">
        <v>1699</v>
      </c>
      <c r="C47" s="164" t="s">
        <v>40</v>
      </c>
      <c r="D47" s="183" t="s">
        <v>758</v>
      </c>
      <c r="E47" s="63">
        <v>1</v>
      </c>
      <c r="F47" s="63">
        <v>1</v>
      </c>
      <c r="G47" s="847">
        <f t="shared" si="4"/>
        <v>100</v>
      </c>
      <c r="H47" s="845">
        <v>16010.7</v>
      </c>
      <c r="I47" s="847">
        <v>16010.28</v>
      </c>
      <c r="J47" s="847">
        <f t="shared" ref="J47:J109" si="5">+I47/H47%</f>
        <v>99.997376754295573</v>
      </c>
    </row>
    <row r="48" spans="1:10" ht="21" customHeight="1" x14ac:dyDescent="0.2">
      <c r="A48" s="568">
        <v>4.2</v>
      </c>
      <c r="B48" s="19" t="s">
        <v>1786</v>
      </c>
      <c r="C48" s="164" t="s">
        <v>40</v>
      </c>
      <c r="D48" s="183" t="s">
        <v>1513</v>
      </c>
      <c r="E48" s="63">
        <v>1</v>
      </c>
      <c r="F48" s="63">
        <v>1</v>
      </c>
      <c r="G48" s="847">
        <f t="shared" si="4"/>
        <v>100</v>
      </c>
      <c r="H48" s="845">
        <v>718.47</v>
      </c>
      <c r="I48" s="847">
        <v>718.2</v>
      </c>
      <c r="J48" s="847">
        <f t="shared" si="5"/>
        <v>99.962420142803452</v>
      </c>
    </row>
    <row r="49" spans="1:10" ht="25.5" customHeight="1" x14ac:dyDescent="0.2">
      <c r="A49" s="43">
        <v>5</v>
      </c>
      <c r="B49" s="12" t="s">
        <v>1700</v>
      </c>
      <c r="C49" s="466" t="s">
        <v>40</v>
      </c>
      <c r="D49" s="466"/>
      <c r="E49" s="855"/>
      <c r="F49" s="855"/>
      <c r="G49" s="467"/>
      <c r="H49" s="24">
        <f>+SUM(H50:H53)</f>
        <v>31113.83</v>
      </c>
      <c r="I49" s="318">
        <f>+SUM(I50:I53)</f>
        <v>31112.400000000001</v>
      </c>
      <c r="J49" s="318">
        <f>I49/H49%</f>
        <v>99.9954039730885</v>
      </c>
    </row>
    <row r="50" spans="1:10" ht="26.25" customHeight="1" x14ac:dyDescent="0.2">
      <c r="A50" s="54">
        <v>5.0999999999999996</v>
      </c>
      <c r="B50" s="19" t="s">
        <v>1701</v>
      </c>
      <c r="C50" s="164" t="s">
        <v>40</v>
      </c>
      <c r="D50" s="183" t="s">
        <v>42</v>
      </c>
      <c r="E50" s="63">
        <v>6</v>
      </c>
      <c r="F50" s="63">
        <v>6</v>
      </c>
      <c r="G50" s="847">
        <f t="shared" si="4"/>
        <v>100</v>
      </c>
      <c r="H50" s="845">
        <v>0</v>
      </c>
      <c r="I50" s="847">
        <v>0</v>
      </c>
      <c r="J50" s="847"/>
    </row>
    <row r="51" spans="1:10" ht="21" customHeight="1" x14ac:dyDescent="0.2">
      <c r="A51" s="54">
        <v>5.2</v>
      </c>
      <c r="B51" s="19" t="s">
        <v>1702</v>
      </c>
      <c r="C51" s="164" t="s">
        <v>40</v>
      </c>
      <c r="D51" s="183" t="s">
        <v>536</v>
      </c>
      <c r="E51" s="63">
        <v>5</v>
      </c>
      <c r="F51" s="63">
        <v>6</v>
      </c>
      <c r="G51" s="847">
        <f t="shared" si="4"/>
        <v>120</v>
      </c>
      <c r="H51" s="845">
        <v>1197</v>
      </c>
      <c r="I51" s="847">
        <v>1195.57</v>
      </c>
      <c r="J51" s="847">
        <f t="shared" si="5"/>
        <v>99.880534670008345</v>
      </c>
    </row>
    <row r="52" spans="1:10" ht="21" customHeight="1" x14ac:dyDescent="0.2">
      <c r="A52" s="568">
        <v>5.3</v>
      </c>
      <c r="B52" s="19" t="s">
        <v>1703</v>
      </c>
      <c r="C52" s="164" t="s">
        <v>40</v>
      </c>
      <c r="D52" s="183" t="s">
        <v>758</v>
      </c>
      <c r="E52" s="63">
        <v>1</v>
      </c>
      <c r="F52" s="63">
        <v>1</v>
      </c>
      <c r="G52" s="847">
        <f t="shared" si="4"/>
        <v>100</v>
      </c>
      <c r="H52" s="845">
        <v>28685.63</v>
      </c>
      <c r="I52" s="847">
        <v>28685.63</v>
      </c>
      <c r="J52" s="847">
        <f t="shared" si="5"/>
        <v>99.999999999999986</v>
      </c>
    </row>
    <row r="53" spans="1:10" ht="21" customHeight="1" x14ac:dyDescent="0.2">
      <c r="A53" s="568">
        <v>5.4</v>
      </c>
      <c r="B53" s="19" t="s">
        <v>1787</v>
      </c>
      <c r="C53" s="164" t="s">
        <v>40</v>
      </c>
      <c r="D53" s="183" t="s">
        <v>1513</v>
      </c>
      <c r="E53" s="63">
        <v>1</v>
      </c>
      <c r="F53" s="63">
        <v>1</v>
      </c>
      <c r="G53" s="847">
        <f t="shared" si="4"/>
        <v>100</v>
      </c>
      <c r="H53" s="845">
        <v>1231.2</v>
      </c>
      <c r="I53" s="847">
        <v>1231.2</v>
      </c>
      <c r="J53" s="847">
        <f t="shared" si="5"/>
        <v>100</v>
      </c>
    </row>
    <row r="54" spans="1:10" ht="26.25" customHeight="1" x14ac:dyDescent="0.2">
      <c r="A54" s="43">
        <v>6</v>
      </c>
      <c r="B54" s="12" t="s">
        <v>1710</v>
      </c>
      <c r="C54" s="466" t="s">
        <v>40</v>
      </c>
      <c r="D54" s="466"/>
      <c r="E54" s="855"/>
      <c r="F54" s="855"/>
      <c r="G54" s="467"/>
      <c r="H54" s="24">
        <f>+SUM(H55:H57)</f>
        <v>25000</v>
      </c>
      <c r="I54" s="318">
        <f>+SUM(I55:I57)</f>
        <v>25000</v>
      </c>
      <c r="J54" s="318">
        <f>I54/H54%</f>
        <v>100</v>
      </c>
    </row>
    <row r="55" spans="1:10" ht="26.25" customHeight="1" x14ac:dyDescent="0.2">
      <c r="A55" s="568">
        <v>6.1</v>
      </c>
      <c r="B55" s="19" t="s">
        <v>1711</v>
      </c>
      <c r="C55" s="164" t="s">
        <v>40</v>
      </c>
      <c r="D55" s="183" t="s">
        <v>1705</v>
      </c>
      <c r="E55" s="63">
        <v>1</v>
      </c>
      <c r="F55" s="63">
        <v>1</v>
      </c>
      <c r="G55" s="847">
        <f t="shared" si="4"/>
        <v>100</v>
      </c>
      <c r="H55" s="845">
        <v>11300</v>
      </c>
      <c r="I55" s="847">
        <v>11300</v>
      </c>
      <c r="J55" s="847">
        <f t="shared" si="5"/>
        <v>100</v>
      </c>
    </row>
    <row r="56" spans="1:10" ht="27.75" customHeight="1" x14ac:dyDescent="0.2">
      <c r="A56" s="568">
        <v>6.2</v>
      </c>
      <c r="B56" s="19" t="s">
        <v>1712</v>
      </c>
      <c r="C56" s="164" t="s">
        <v>40</v>
      </c>
      <c r="D56" s="183" t="s">
        <v>1706</v>
      </c>
      <c r="E56" s="63">
        <v>1</v>
      </c>
      <c r="F56" s="63">
        <v>1</v>
      </c>
      <c r="G56" s="847">
        <f t="shared" si="4"/>
        <v>100</v>
      </c>
      <c r="H56" s="845">
        <v>11300</v>
      </c>
      <c r="I56" s="847">
        <v>11300</v>
      </c>
      <c r="J56" s="847">
        <f t="shared" si="5"/>
        <v>100</v>
      </c>
    </row>
    <row r="57" spans="1:10" ht="21" customHeight="1" x14ac:dyDescent="0.2">
      <c r="A57" s="568">
        <v>6.3</v>
      </c>
      <c r="B57" s="19" t="s">
        <v>1704</v>
      </c>
      <c r="C57" s="164" t="s">
        <v>40</v>
      </c>
      <c r="D57" s="183" t="s">
        <v>1705</v>
      </c>
      <c r="E57" s="63">
        <v>1</v>
      </c>
      <c r="F57" s="63">
        <v>1</v>
      </c>
      <c r="G57" s="847">
        <f t="shared" si="4"/>
        <v>100</v>
      </c>
      <c r="H57" s="845">
        <v>2400</v>
      </c>
      <c r="I57" s="847">
        <v>2400</v>
      </c>
      <c r="J57" s="847">
        <f t="shared" si="5"/>
        <v>100</v>
      </c>
    </row>
    <row r="58" spans="1:10" ht="18.75" customHeight="1" x14ac:dyDescent="0.2">
      <c r="A58" s="340" t="s">
        <v>2318</v>
      </c>
      <c r="B58" s="18"/>
      <c r="C58" s="163"/>
      <c r="D58" s="163"/>
      <c r="E58" s="25"/>
      <c r="F58" s="856"/>
      <c r="G58" s="39"/>
      <c r="H58" s="67">
        <f>SUM(H59:H83)</f>
        <v>30697282</v>
      </c>
      <c r="I58" s="81">
        <f>SUM(I59:I83)</f>
        <v>30374673.140000001</v>
      </c>
      <c r="J58" s="320">
        <f t="shared" si="5"/>
        <v>98.949063764016628</v>
      </c>
    </row>
    <row r="59" spans="1:10" ht="26.25" customHeight="1" x14ac:dyDescent="0.2">
      <c r="A59" s="43">
        <v>1</v>
      </c>
      <c r="B59" s="19" t="s">
        <v>45</v>
      </c>
      <c r="C59" s="164" t="s">
        <v>46</v>
      </c>
      <c r="D59" s="164" t="s">
        <v>47</v>
      </c>
      <c r="E59" s="37">
        <v>2003</v>
      </c>
      <c r="F59" s="37">
        <v>2003</v>
      </c>
      <c r="G59" s="847">
        <f t="shared" ref="G59:G119" si="6">+F59/E59%</f>
        <v>100</v>
      </c>
      <c r="H59" s="37">
        <v>1449594</v>
      </c>
      <c r="I59" s="273">
        <v>1442056.13</v>
      </c>
      <c r="J59" s="847">
        <f t="shared" si="5"/>
        <v>99.48000129691485</v>
      </c>
    </row>
    <row r="60" spans="1:10" ht="25.5" customHeight="1" x14ac:dyDescent="0.2">
      <c r="A60" s="43">
        <v>2</v>
      </c>
      <c r="B60" s="604" t="s">
        <v>48</v>
      </c>
      <c r="C60" s="164" t="s">
        <v>46</v>
      </c>
      <c r="D60" s="164" t="s">
        <v>49</v>
      </c>
      <c r="E60" s="37">
        <v>91</v>
      </c>
      <c r="F60" s="37">
        <v>91</v>
      </c>
      <c r="G60" s="847">
        <f t="shared" si="6"/>
        <v>100</v>
      </c>
      <c r="H60" s="37">
        <v>456500</v>
      </c>
      <c r="I60" s="273">
        <v>455235.5</v>
      </c>
      <c r="J60" s="847">
        <f t="shared" si="5"/>
        <v>99.723001095290257</v>
      </c>
    </row>
    <row r="61" spans="1:10" ht="25.5" customHeight="1" x14ac:dyDescent="0.2">
      <c r="A61" s="43">
        <v>3</v>
      </c>
      <c r="B61" s="604" t="s">
        <v>50</v>
      </c>
      <c r="C61" s="164" t="s">
        <v>46</v>
      </c>
      <c r="D61" s="164" t="s">
        <v>49</v>
      </c>
      <c r="E61" s="37">
        <v>1</v>
      </c>
      <c r="F61" s="37">
        <v>1</v>
      </c>
      <c r="G61" s="847">
        <f t="shared" si="6"/>
        <v>100</v>
      </c>
      <c r="H61" s="37">
        <v>574</v>
      </c>
      <c r="I61" s="37">
        <v>0</v>
      </c>
      <c r="J61" s="847">
        <f t="shared" si="5"/>
        <v>0</v>
      </c>
    </row>
    <row r="62" spans="1:10" ht="18.75" customHeight="1" x14ac:dyDescent="0.2">
      <c r="A62" s="43">
        <v>4</v>
      </c>
      <c r="B62" s="604" t="s">
        <v>51</v>
      </c>
      <c r="C62" s="164" t="s">
        <v>46</v>
      </c>
      <c r="D62" s="164" t="s">
        <v>52</v>
      </c>
      <c r="E62" s="845">
        <v>12</v>
      </c>
      <c r="F62" s="845">
        <v>12</v>
      </c>
      <c r="G62" s="847">
        <f t="shared" si="6"/>
        <v>100</v>
      </c>
      <c r="H62" s="845">
        <v>1322089</v>
      </c>
      <c r="I62" s="847">
        <v>1262775.47</v>
      </c>
      <c r="J62" s="847">
        <f t="shared" si="5"/>
        <v>95.513650745146506</v>
      </c>
    </row>
    <row r="63" spans="1:10" ht="25.5" customHeight="1" x14ac:dyDescent="0.2">
      <c r="A63" s="43">
        <v>5</v>
      </c>
      <c r="B63" s="604" t="s">
        <v>53</v>
      </c>
      <c r="C63" s="164" t="s">
        <v>46</v>
      </c>
      <c r="D63" s="164" t="s">
        <v>85</v>
      </c>
      <c r="E63" s="845">
        <v>40</v>
      </c>
      <c r="F63" s="845">
        <v>40</v>
      </c>
      <c r="G63" s="847">
        <f t="shared" si="6"/>
        <v>100</v>
      </c>
      <c r="H63" s="845">
        <v>28083</v>
      </c>
      <c r="I63" s="847">
        <v>28082.799999999999</v>
      </c>
      <c r="J63" s="847">
        <f t="shared" si="5"/>
        <v>99.999287825374779</v>
      </c>
    </row>
    <row r="64" spans="1:10" ht="18.75" customHeight="1" x14ac:dyDescent="0.2">
      <c r="A64" s="43">
        <v>6</v>
      </c>
      <c r="B64" s="604" t="s">
        <v>54</v>
      </c>
      <c r="C64" s="164" t="s">
        <v>46</v>
      </c>
      <c r="D64" s="164" t="s">
        <v>85</v>
      </c>
      <c r="E64" s="845">
        <v>118</v>
      </c>
      <c r="F64" s="845">
        <v>118</v>
      </c>
      <c r="G64" s="847">
        <f t="shared" si="6"/>
        <v>100</v>
      </c>
      <c r="H64" s="845">
        <v>189795</v>
      </c>
      <c r="I64" s="847">
        <v>189794.2</v>
      </c>
      <c r="J64" s="847">
        <f t="shared" si="5"/>
        <v>99.999578492584106</v>
      </c>
    </row>
    <row r="65" spans="1:10" ht="25.5" customHeight="1" x14ac:dyDescent="0.2">
      <c r="A65" s="43">
        <v>7</v>
      </c>
      <c r="B65" s="604" t="s">
        <v>55</v>
      </c>
      <c r="C65" s="164" t="s">
        <v>46</v>
      </c>
      <c r="D65" s="164" t="s">
        <v>56</v>
      </c>
      <c r="E65" s="38">
        <v>20</v>
      </c>
      <c r="F65" s="38">
        <v>20</v>
      </c>
      <c r="G65" s="847">
        <f t="shared" si="6"/>
        <v>100</v>
      </c>
      <c r="H65" s="38">
        <v>0</v>
      </c>
      <c r="I65" s="38">
        <v>0</v>
      </c>
      <c r="J65" s="847">
        <v>0</v>
      </c>
    </row>
    <row r="66" spans="1:10" ht="18.75" customHeight="1" x14ac:dyDescent="0.2">
      <c r="A66" s="43">
        <v>8</v>
      </c>
      <c r="B66" s="604" t="s">
        <v>57</v>
      </c>
      <c r="C66" s="164" t="s">
        <v>46</v>
      </c>
      <c r="D66" s="164" t="s">
        <v>58</v>
      </c>
      <c r="E66" s="845">
        <v>257</v>
      </c>
      <c r="F66" s="845">
        <v>257</v>
      </c>
      <c r="G66" s="847">
        <f t="shared" si="6"/>
        <v>100</v>
      </c>
      <c r="H66" s="845">
        <v>0</v>
      </c>
      <c r="I66" s="845">
        <v>0</v>
      </c>
      <c r="J66" s="847">
        <v>0</v>
      </c>
    </row>
    <row r="67" spans="1:10" ht="18.75" customHeight="1" x14ac:dyDescent="0.2">
      <c r="A67" s="43">
        <v>9</v>
      </c>
      <c r="B67" s="604" t="s">
        <v>59</v>
      </c>
      <c r="C67" s="164" t="s">
        <v>46</v>
      </c>
      <c r="D67" s="164" t="s">
        <v>58</v>
      </c>
      <c r="E67" s="845">
        <v>40</v>
      </c>
      <c r="F67" s="845">
        <v>40</v>
      </c>
      <c r="G67" s="847">
        <f t="shared" si="6"/>
        <v>100</v>
      </c>
      <c r="H67" s="845">
        <v>0</v>
      </c>
      <c r="I67" s="845">
        <v>0</v>
      </c>
      <c r="J67" s="847">
        <v>0</v>
      </c>
    </row>
    <row r="68" spans="1:10" ht="18.75" customHeight="1" x14ac:dyDescent="0.2">
      <c r="A68" s="43">
        <v>10</v>
      </c>
      <c r="B68" s="604" t="s">
        <v>60</v>
      </c>
      <c r="C68" s="164" t="s">
        <v>46</v>
      </c>
      <c r="D68" s="164" t="s">
        <v>58</v>
      </c>
      <c r="E68" s="845">
        <v>257</v>
      </c>
      <c r="F68" s="845">
        <v>257</v>
      </c>
      <c r="G68" s="847">
        <f t="shared" si="6"/>
        <v>100</v>
      </c>
      <c r="H68" s="845"/>
      <c r="I68" s="845"/>
      <c r="J68" s="847">
        <v>0</v>
      </c>
    </row>
    <row r="69" spans="1:10" ht="18.75" customHeight="1" x14ac:dyDescent="0.2">
      <c r="A69" s="43">
        <v>11</v>
      </c>
      <c r="B69" s="604" t="s">
        <v>61</v>
      </c>
      <c r="C69" s="164" t="s">
        <v>46</v>
      </c>
      <c r="D69" s="164" t="s">
        <v>85</v>
      </c>
      <c r="E69" s="845">
        <v>25</v>
      </c>
      <c r="F69" s="845">
        <v>25</v>
      </c>
      <c r="G69" s="847">
        <f t="shared" si="6"/>
        <v>100</v>
      </c>
      <c r="H69" s="845"/>
      <c r="I69" s="845"/>
      <c r="J69" s="847">
        <v>0</v>
      </c>
    </row>
    <row r="70" spans="1:10" ht="18.75" customHeight="1" x14ac:dyDescent="0.2">
      <c r="A70" s="43">
        <v>12</v>
      </c>
      <c r="B70" s="604" t="s">
        <v>62</v>
      </c>
      <c r="C70" s="164" t="s">
        <v>46</v>
      </c>
      <c r="D70" s="164" t="s">
        <v>85</v>
      </c>
      <c r="E70" s="845">
        <v>15</v>
      </c>
      <c r="F70" s="845">
        <v>15</v>
      </c>
      <c r="G70" s="847">
        <f t="shared" si="6"/>
        <v>100</v>
      </c>
      <c r="H70" s="845"/>
      <c r="I70" s="845"/>
      <c r="J70" s="847">
        <v>0</v>
      </c>
    </row>
    <row r="71" spans="1:10" ht="25.5" customHeight="1" x14ac:dyDescent="0.2">
      <c r="A71" s="43">
        <v>13</v>
      </c>
      <c r="B71" s="604" t="s">
        <v>63</v>
      </c>
      <c r="C71" s="164" t="s">
        <v>46</v>
      </c>
      <c r="D71" s="164" t="s">
        <v>64</v>
      </c>
      <c r="E71" s="38"/>
      <c r="F71" s="38"/>
      <c r="G71" s="847"/>
      <c r="H71" s="38">
        <v>0</v>
      </c>
      <c r="I71" s="38"/>
      <c r="J71" s="847">
        <v>0</v>
      </c>
    </row>
    <row r="72" spans="1:10" ht="18.75" customHeight="1" x14ac:dyDescent="0.2">
      <c r="A72" s="43">
        <v>14</v>
      </c>
      <c r="B72" s="604" t="s">
        <v>65</v>
      </c>
      <c r="C72" s="164" t="s">
        <v>46</v>
      </c>
      <c r="D72" s="164" t="s">
        <v>66</v>
      </c>
      <c r="E72" s="38">
        <v>13</v>
      </c>
      <c r="F72" s="38">
        <v>13</v>
      </c>
      <c r="G72" s="847">
        <f t="shared" si="6"/>
        <v>100</v>
      </c>
      <c r="H72" s="38">
        <v>270866</v>
      </c>
      <c r="I72" s="277">
        <v>228097.62</v>
      </c>
      <c r="J72" s="847">
        <f t="shared" si="5"/>
        <v>84.210502610146719</v>
      </c>
    </row>
    <row r="73" spans="1:10" ht="23.25" customHeight="1" x14ac:dyDescent="0.2">
      <c r="A73" s="43">
        <v>15</v>
      </c>
      <c r="B73" s="576" t="s">
        <v>67</v>
      </c>
      <c r="C73" s="164" t="s">
        <v>46</v>
      </c>
      <c r="D73" s="164" t="s">
        <v>66</v>
      </c>
      <c r="E73" s="38">
        <v>3</v>
      </c>
      <c r="F73" s="38">
        <v>3</v>
      </c>
      <c r="G73" s="847">
        <f t="shared" si="6"/>
        <v>100</v>
      </c>
      <c r="H73" s="38">
        <v>89723</v>
      </c>
      <c r="I73" s="277">
        <v>89722</v>
      </c>
      <c r="J73" s="847">
        <f t="shared" si="5"/>
        <v>99.998885458578073</v>
      </c>
    </row>
    <row r="74" spans="1:10" ht="18.75" customHeight="1" x14ac:dyDescent="0.2">
      <c r="A74" s="43">
        <v>16</v>
      </c>
      <c r="B74" s="604" t="s">
        <v>68</v>
      </c>
      <c r="C74" s="164" t="s">
        <v>46</v>
      </c>
      <c r="D74" s="164" t="s">
        <v>69</v>
      </c>
      <c r="E74" s="38">
        <v>260</v>
      </c>
      <c r="F74" s="38">
        <v>260</v>
      </c>
      <c r="G74" s="847">
        <f t="shared" si="6"/>
        <v>100</v>
      </c>
      <c r="H74" s="38">
        <v>563035</v>
      </c>
      <c r="I74" s="277">
        <v>563035</v>
      </c>
      <c r="J74" s="847">
        <f t="shared" si="5"/>
        <v>100</v>
      </c>
    </row>
    <row r="75" spans="1:10" ht="25.5" customHeight="1" x14ac:dyDescent="0.2">
      <c r="A75" s="43">
        <v>17</v>
      </c>
      <c r="B75" s="604" t="s">
        <v>70</v>
      </c>
      <c r="C75" s="164" t="s">
        <v>46</v>
      </c>
      <c r="D75" s="164" t="s">
        <v>69</v>
      </c>
      <c r="E75" s="38">
        <v>112</v>
      </c>
      <c r="F75" s="38">
        <v>112</v>
      </c>
      <c r="G75" s="847">
        <f t="shared" si="6"/>
        <v>99.999999999999986</v>
      </c>
      <c r="H75" s="38">
        <v>0</v>
      </c>
      <c r="I75" s="277">
        <v>0</v>
      </c>
      <c r="J75" s="847"/>
    </row>
    <row r="76" spans="1:10" ht="25.5" customHeight="1" x14ac:dyDescent="0.2">
      <c r="A76" s="43">
        <v>18</v>
      </c>
      <c r="B76" s="604" t="s">
        <v>71</v>
      </c>
      <c r="C76" s="164" t="s">
        <v>46</v>
      </c>
      <c r="D76" s="164" t="s">
        <v>72</v>
      </c>
      <c r="E76" s="38">
        <v>6</v>
      </c>
      <c r="F76" s="38">
        <v>6</v>
      </c>
      <c r="G76" s="847">
        <f t="shared" si="6"/>
        <v>100</v>
      </c>
      <c r="H76" s="38">
        <v>66000</v>
      </c>
      <c r="I76" s="277">
        <v>66000</v>
      </c>
      <c r="J76" s="847">
        <f t="shared" si="5"/>
        <v>100</v>
      </c>
    </row>
    <row r="77" spans="1:10" ht="26.25" customHeight="1" x14ac:dyDescent="0.2">
      <c r="A77" s="43">
        <v>19</v>
      </c>
      <c r="B77" s="604" t="s">
        <v>73</v>
      </c>
      <c r="C77" s="164" t="s">
        <v>46</v>
      </c>
      <c r="D77" s="164" t="s">
        <v>72</v>
      </c>
      <c r="E77" s="38">
        <v>270</v>
      </c>
      <c r="F77" s="38">
        <v>270</v>
      </c>
      <c r="G77" s="847">
        <f t="shared" si="6"/>
        <v>100</v>
      </c>
      <c r="H77" s="38">
        <v>5820</v>
      </c>
      <c r="I77" s="277">
        <v>5820</v>
      </c>
      <c r="J77" s="847">
        <f t="shared" si="5"/>
        <v>100</v>
      </c>
    </row>
    <row r="78" spans="1:10" ht="27" customHeight="1" x14ac:dyDescent="0.2">
      <c r="A78" s="43">
        <v>20</v>
      </c>
      <c r="B78" s="604" t="s">
        <v>74</v>
      </c>
      <c r="C78" s="164" t="s">
        <v>46</v>
      </c>
      <c r="D78" s="164" t="s">
        <v>85</v>
      </c>
      <c r="E78" s="38">
        <v>17</v>
      </c>
      <c r="F78" s="38">
        <v>17</v>
      </c>
      <c r="G78" s="847">
        <f t="shared" si="6"/>
        <v>99.999999999999986</v>
      </c>
      <c r="H78" s="38">
        <v>10588235</v>
      </c>
      <c r="I78" s="277">
        <v>10588114.550000001</v>
      </c>
      <c r="J78" s="847">
        <f t="shared" si="5"/>
        <v>99.998862416635063</v>
      </c>
    </row>
    <row r="79" spans="1:10" ht="18.75" customHeight="1" x14ac:dyDescent="0.2">
      <c r="A79" s="43">
        <v>21</v>
      </c>
      <c r="B79" s="604" t="s">
        <v>75</v>
      </c>
      <c r="C79" s="164" t="s">
        <v>46</v>
      </c>
      <c r="D79" s="164" t="s">
        <v>85</v>
      </c>
      <c r="E79" s="38">
        <v>33</v>
      </c>
      <c r="F79" s="38">
        <v>33</v>
      </c>
      <c r="G79" s="847">
        <f t="shared" si="6"/>
        <v>100</v>
      </c>
      <c r="H79" s="38">
        <v>47200</v>
      </c>
      <c r="I79" s="277">
        <v>47200</v>
      </c>
      <c r="J79" s="847">
        <f t="shared" si="5"/>
        <v>100</v>
      </c>
    </row>
    <row r="80" spans="1:10" ht="18.75" customHeight="1" x14ac:dyDescent="0.2">
      <c r="A80" s="43">
        <v>22</v>
      </c>
      <c r="B80" s="604" t="s">
        <v>76</v>
      </c>
      <c r="C80" s="164" t="s">
        <v>46</v>
      </c>
      <c r="D80" s="164" t="s">
        <v>47</v>
      </c>
      <c r="E80" s="38">
        <f>16+120+3+17+4</f>
        <v>160</v>
      </c>
      <c r="F80" s="38">
        <f>16+120+3+17+4</f>
        <v>160</v>
      </c>
      <c r="G80" s="847">
        <f t="shared" si="6"/>
        <v>100</v>
      </c>
      <c r="H80" s="38">
        <f>356020+219430+3420119+147285+448665+147190-15750</f>
        <v>4722959</v>
      </c>
      <c r="I80" s="277">
        <f>356020+219428.99+3194845.55+147283.72+448663.9+147189.18</f>
        <v>4513431.34</v>
      </c>
      <c r="J80" s="847">
        <f t="shared" si="5"/>
        <v>95.563635847781029</v>
      </c>
    </row>
    <row r="81" spans="1:10" ht="18.75" customHeight="1" x14ac:dyDescent="0.2">
      <c r="A81" s="43">
        <v>23</v>
      </c>
      <c r="B81" s="604" t="s">
        <v>77</v>
      </c>
      <c r="C81" s="164" t="s">
        <v>46</v>
      </c>
      <c r="D81" s="164" t="s">
        <v>78</v>
      </c>
      <c r="E81" s="38">
        <f>50+744+25+382+295+1919+60</f>
        <v>3475</v>
      </c>
      <c r="F81" s="277">
        <f>50+744+25+382+295+1919+60</f>
        <v>3475</v>
      </c>
      <c r="G81" s="847">
        <f t="shared" si="6"/>
        <v>100</v>
      </c>
      <c r="H81" s="38">
        <f>199730+704186+35502+588593+425747+1301182+551418+695119+20638</f>
        <v>4522115</v>
      </c>
      <c r="I81" s="277">
        <f>199730+704186+35502+588443+425747+1301182+551417.33+695119+20638</f>
        <v>4521964.33</v>
      </c>
      <c r="J81" s="847">
        <f t="shared" si="5"/>
        <v>99.996668151959867</v>
      </c>
    </row>
    <row r="82" spans="1:10" ht="18.75" customHeight="1" x14ac:dyDescent="0.2">
      <c r="A82" s="43">
        <v>24</v>
      </c>
      <c r="B82" s="604" t="s">
        <v>79</v>
      </c>
      <c r="C82" s="164" t="s">
        <v>46</v>
      </c>
      <c r="D82" s="164" t="s">
        <v>78</v>
      </c>
      <c r="E82" s="38">
        <f>61+225+575+194+626+117+2627+103</f>
        <v>4528</v>
      </c>
      <c r="F82" s="277">
        <f>61+225+575+194+626+117+2627+103</f>
        <v>4528</v>
      </c>
      <c r="G82" s="847">
        <f t="shared" si="6"/>
        <v>100</v>
      </c>
      <c r="H82" s="38">
        <f>220189+433738+668851+379673+524805+183503+1052638+847922</f>
        <v>4311319</v>
      </c>
      <c r="I82" s="277">
        <f>220189+433738+668851+379673+524805+183503+1051527.12+847684.3</f>
        <v>4309970.42</v>
      </c>
      <c r="J82" s="847">
        <f t="shared" si="5"/>
        <v>99.968720013527175</v>
      </c>
    </row>
    <row r="83" spans="1:10" ht="18.75" customHeight="1" x14ac:dyDescent="0.2">
      <c r="A83" s="43">
        <v>25</v>
      </c>
      <c r="B83" s="604" t="s">
        <v>80</v>
      </c>
      <c r="C83" s="164" t="s">
        <v>46</v>
      </c>
      <c r="D83" s="164" t="s">
        <v>81</v>
      </c>
      <c r="E83" s="38">
        <v>12</v>
      </c>
      <c r="F83" s="277">
        <v>12</v>
      </c>
      <c r="G83" s="847">
        <f t="shared" si="6"/>
        <v>100</v>
      </c>
      <c r="H83" s="38">
        <v>2063375</v>
      </c>
      <c r="I83" s="277">
        <v>2063373.78</v>
      </c>
      <c r="J83" s="847">
        <f t="shared" si="5"/>
        <v>99.999940873568789</v>
      </c>
    </row>
    <row r="84" spans="1:10" ht="18.75" customHeight="1" x14ac:dyDescent="0.2">
      <c r="A84" s="985" t="s">
        <v>83</v>
      </c>
      <c r="B84" s="985"/>
      <c r="C84" s="163"/>
      <c r="D84" s="163"/>
      <c r="E84" s="25"/>
      <c r="F84" s="856"/>
      <c r="G84" s="25"/>
      <c r="H84" s="67">
        <f>SUM(H85:H225)</f>
        <v>713564994</v>
      </c>
      <c r="I84" s="81">
        <f>SUM(I85:I225)</f>
        <v>710639160.54999995</v>
      </c>
      <c r="J84" s="39"/>
    </row>
    <row r="85" spans="1:10" ht="18.75" customHeight="1" x14ac:dyDescent="0.2">
      <c r="A85" s="363">
        <v>1</v>
      </c>
      <c r="B85" s="833" t="s">
        <v>84</v>
      </c>
      <c r="C85" s="60" t="s">
        <v>1079</v>
      </c>
      <c r="D85" s="60" t="s">
        <v>52</v>
      </c>
      <c r="E85" s="37">
        <v>212</v>
      </c>
      <c r="F85" s="277">
        <v>636</v>
      </c>
      <c r="G85" s="847">
        <f t="shared" si="6"/>
        <v>300</v>
      </c>
      <c r="H85" s="37">
        <v>464935</v>
      </c>
      <c r="I85" s="37">
        <v>456453</v>
      </c>
      <c r="J85" s="847">
        <f t="shared" si="5"/>
        <v>98.175658963080849</v>
      </c>
    </row>
    <row r="86" spans="1:10" ht="18.75" customHeight="1" x14ac:dyDescent="0.2">
      <c r="A86" s="363">
        <v>2</v>
      </c>
      <c r="B86" s="833" t="s">
        <v>79</v>
      </c>
      <c r="C86" s="60" t="s">
        <v>1079</v>
      </c>
      <c r="D86" s="60" t="s">
        <v>85</v>
      </c>
      <c r="E86" s="37">
        <v>645</v>
      </c>
      <c r="F86" s="277">
        <v>1935</v>
      </c>
      <c r="G86" s="847">
        <f t="shared" si="6"/>
        <v>300</v>
      </c>
      <c r="H86" s="37">
        <v>50457</v>
      </c>
      <c r="I86" s="273">
        <v>50457</v>
      </c>
      <c r="J86" s="847">
        <f t="shared" si="5"/>
        <v>100</v>
      </c>
    </row>
    <row r="87" spans="1:10" ht="18.75" customHeight="1" x14ac:dyDescent="0.2">
      <c r="A87" s="363">
        <v>3</v>
      </c>
      <c r="B87" s="833" t="s">
        <v>86</v>
      </c>
      <c r="C87" s="60" t="s">
        <v>1079</v>
      </c>
      <c r="D87" s="821" t="s">
        <v>52</v>
      </c>
      <c r="E87" s="845">
        <v>17060</v>
      </c>
      <c r="F87" s="273">
        <v>51180</v>
      </c>
      <c r="G87" s="847">
        <f t="shared" si="6"/>
        <v>300</v>
      </c>
      <c r="H87" s="845">
        <f>17335770+440178</f>
        <v>17775948</v>
      </c>
      <c r="I87" s="847">
        <f>16645990.73+546314.73</f>
        <v>17192305.460000001</v>
      </c>
      <c r="J87" s="847">
        <f t="shared" si="5"/>
        <v>96.716672776045471</v>
      </c>
    </row>
    <row r="88" spans="1:10" ht="18.75" customHeight="1" x14ac:dyDescent="0.2">
      <c r="A88" s="30">
        <v>3.1</v>
      </c>
      <c r="B88" s="833" t="s">
        <v>87</v>
      </c>
      <c r="C88" s="60" t="s">
        <v>1079</v>
      </c>
      <c r="D88" s="592" t="s">
        <v>52</v>
      </c>
      <c r="E88" s="37">
        <v>1424</v>
      </c>
      <c r="F88" s="273">
        <v>3144</v>
      </c>
      <c r="G88" s="847">
        <f t="shared" si="6"/>
        <v>220.78651685393257</v>
      </c>
      <c r="H88" s="37">
        <v>622235</v>
      </c>
      <c r="I88" s="273">
        <v>622235</v>
      </c>
      <c r="J88" s="847">
        <f t="shared" si="5"/>
        <v>100</v>
      </c>
    </row>
    <row r="89" spans="1:10" ht="18.75" customHeight="1" x14ac:dyDescent="0.2">
      <c r="A89" s="30">
        <v>3.2</v>
      </c>
      <c r="B89" s="833" t="s">
        <v>444</v>
      </c>
      <c r="C89" s="60" t="s">
        <v>1079</v>
      </c>
      <c r="D89" s="592" t="s">
        <v>52</v>
      </c>
      <c r="E89" s="37">
        <v>236</v>
      </c>
      <c r="F89" s="273">
        <v>708</v>
      </c>
      <c r="G89" s="847">
        <f t="shared" si="6"/>
        <v>300</v>
      </c>
      <c r="H89" s="37">
        <v>345701</v>
      </c>
      <c r="I89" s="273">
        <v>345701</v>
      </c>
      <c r="J89" s="847">
        <f t="shared" si="5"/>
        <v>100</v>
      </c>
    </row>
    <row r="90" spans="1:10" ht="18.75" customHeight="1" x14ac:dyDescent="0.2">
      <c r="A90" s="30">
        <v>3.3</v>
      </c>
      <c r="B90" s="833" t="s">
        <v>88</v>
      </c>
      <c r="C90" s="60" t="s">
        <v>1079</v>
      </c>
      <c r="D90" s="60" t="s">
        <v>52</v>
      </c>
      <c r="E90" s="37">
        <v>69926</v>
      </c>
      <c r="F90" s="277">
        <v>202240</v>
      </c>
      <c r="G90" s="847">
        <f t="shared" si="6"/>
        <v>289.22003260589764</v>
      </c>
      <c r="H90" s="37">
        <v>3320997</v>
      </c>
      <c r="I90" s="273">
        <v>3199220.79</v>
      </c>
      <c r="J90" s="847">
        <f t="shared" si="5"/>
        <v>96.333143029036151</v>
      </c>
    </row>
    <row r="91" spans="1:10" ht="18.75" customHeight="1" x14ac:dyDescent="0.2">
      <c r="A91" s="30">
        <v>3.4</v>
      </c>
      <c r="B91" s="833" t="s">
        <v>445</v>
      </c>
      <c r="C91" s="60" t="s">
        <v>1079</v>
      </c>
      <c r="D91" s="60" t="s">
        <v>52</v>
      </c>
      <c r="E91" s="37">
        <v>0</v>
      </c>
      <c r="F91" s="277">
        <v>0</v>
      </c>
      <c r="G91" s="847"/>
      <c r="H91" s="37">
        <v>0</v>
      </c>
      <c r="I91" s="273">
        <v>0</v>
      </c>
      <c r="J91" s="847"/>
    </row>
    <row r="92" spans="1:10" ht="18.75" customHeight="1" x14ac:dyDescent="0.2">
      <c r="A92" s="30">
        <v>3.5</v>
      </c>
      <c r="B92" s="833" t="s">
        <v>89</v>
      </c>
      <c r="C92" s="60" t="s">
        <v>1079</v>
      </c>
      <c r="D92" s="60" t="s">
        <v>90</v>
      </c>
      <c r="E92" s="37">
        <v>0</v>
      </c>
      <c r="F92" s="277">
        <v>0</v>
      </c>
      <c r="G92" s="847"/>
      <c r="H92" s="37">
        <v>0</v>
      </c>
      <c r="I92" s="273">
        <v>0</v>
      </c>
      <c r="J92" s="847"/>
    </row>
    <row r="93" spans="1:10" ht="18.75" customHeight="1" x14ac:dyDescent="0.2">
      <c r="A93" s="986">
        <v>3.6</v>
      </c>
      <c r="B93" s="953" t="s">
        <v>91</v>
      </c>
      <c r="C93" s="60" t="s">
        <v>1079</v>
      </c>
      <c r="D93" s="60" t="s">
        <v>92</v>
      </c>
      <c r="E93" s="37">
        <v>12</v>
      </c>
      <c r="F93" s="277">
        <v>36</v>
      </c>
      <c r="G93" s="847">
        <f t="shared" si="6"/>
        <v>300</v>
      </c>
      <c r="H93" s="37">
        <v>12895</v>
      </c>
      <c r="I93" s="273">
        <v>12895</v>
      </c>
      <c r="J93" s="847">
        <f t="shared" si="5"/>
        <v>100.00000000000001</v>
      </c>
    </row>
    <row r="94" spans="1:10" ht="18.75" customHeight="1" x14ac:dyDescent="0.2">
      <c r="A94" s="986"/>
      <c r="B94" s="953"/>
      <c r="C94" s="60" t="s">
        <v>1079</v>
      </c>
      <c r="D94" s="60" t="s">
        <v>93</v>
      </c>
      <c r="E94" s="37">
        <v>0</v>
      </c>
      <c r="F94" s="277">
        <v>0</v>
      </c>
      <c r="G94" s="847"/>
      <c r="H94" s="37">
        <v>0</v>
      </c>
      <c r="I94" s="273">
        <v>0</v>
      </c>
      <c r="J94" s="847"/>
    </row>
    <row r="95" spans="1:10" ht="18.75" customHeight="1" x14ac:dyDescent="0.2">
      <c r="A95" s="30">
        <v>3.7</v>
      </c>
      <c r="B95" s="833" t="s">
        <v>94</v>
      </c>
      <c r="C95" s="60" t="s">
        <v>1079</v>
      </c>
      <c r="D95" s="60" t="s">
        <v>95</v>
      </c>
      <c r="E95" s="37">
        <v>0</v>
      </c>
      <c r="F95" s="277">
        <v>0</v>
      </c>
      <c r="G95" s="847"/>
      <c r="H95" s="37">
        <v>0</v>
      </c>
      <c r="I95" s="273">
        <v>0</v>
      </c>
      <c r="J95" s="847"/>
    </row>
    <row r="96" spans="1:10" ht="18.75" customHeight="1" x14ac:dyDescent="0.2">
      <c r="A96" s="30">
        <v>3.8</v>
      </c>
      <c r="B96" s="833" t="s">
        <v>96</v>
      </c>
      <c r="C96" s="60" t="s">
        <v>1079</v>
      </c>
      <c r="D96" s="60" t="s">
        <v>97</v>
      </c>
      <c r="E96" s="37">
        <v>10</v>
      </c>
      <c r="F96" s="277">
        <v>30</v>
      </c>
      <c r="G96" s="847">
        <f t="shared" si="6"/>
        <v>300</v>
      </c>
      <c r="H96" s="37">
        <v>11084</v>
      </c>
      <c r="I96" s="273">
        <v>11084</v>
      </c>
      <c r="J96" s="847">
        <f t="shared" si="5"/>
        <v>100</v>
      </c>
    </row>
    <row r="97" spans="1:10" ht="18.75" customHeight="1" x14ac:dyDescent="0.2">
      <c r="A97" s="363">
        <v>4</v>
      </c>
      <c r="B97" s="833" t="s">
        <v>98</v>
      </c>
      <c r="C97" s="60" t="s">
        <v>1079</v>
      </c>
      <c r="D97" s="592" t="s">
        <v>52</v>
      </c>
      <c r="E97" s="37">
        <v>648</v>
      </c>
      <c r="F97" s="273">
        <v>1944</v>
      </c>
      <c r="G97" s="847">
        <f t="shared" si="6"/>
        <v>300</v>
      </c>
      <c r="H97" s="37">
        <v>4414820</v>
      </c>
      <c r="I97" s="273">
        <v>3018579.8200000003</v>
      </c>
      <c r="J97" s="847">
        <f t="shared" si="5"/>
        <v>68.373791456956354</v>
      </c>
    </row>
    <row r="98" spans="1:10" ht="18.75" customHeight="1" x14ac:dyDescent="0.2">
      <c r="A98" s="952">
        <v>5</v>
      </c>
      <c r="B98" s="953" t="s">
        <v>99</v>
      </c>
      <c r="C98" s="954" t="s">
        <v>1079</v>
      </c>
      <c r="D98" s="592"/>
      <c r="E98" s="37">
        <v>0</v>
      </c>
      <c r="F98" s="273">
        <v>0</v>
      </c>
      <c r="G98" s="847"/>
      <c r="H98" s="39">
        <v>0</v>
      </c>
      <c r="I98" s="313">
        <v>0</v>
      </c>
      <c r="J98" s="847"/>
    </row>
    <row r="99" spans="1:10" ht="26.25" customHeight="1" x14ac:dyDescent="0.2">
      <c r="A99" s="952"/>
      <c r="B99" s="953"/>
      <c r="C99" s="954"/>
      <c r="D99" s="592" t="s">
        <v>100</v>
      </c>
      <c r="E99" s="37">
        <v>0</v>
      </c>
      <c r="F99" s="273">
        <v>0</v>
      </c>
      <c r="G99" s="847"/>
      <c r="H99" s="37">
        <v>0</v>
      </c>
      <c r="I99" s="273">
        <v>0</v>
      </c>
      <c r="J99" s="847"/>
    </row>
    <row r="100" spans="1:10" ht="18.75" customHeight="1" x14ac:dyDescent="0.2">
      <c r="A100" s="952"/>
      <c r="B100" s="953"/>
      <c r="C100" s="954"/>
      <c r="D100" s="592" t="s">
        <v>101</v>
      </c>
      <c r="E100" s="37">
        <v>0</v>
      </c>
      <c r="F100" s="273">
        <v>0</v>
      </c>
      <c r="G100" s="847"/>
      <c r="H100" s="37">
        <v>0</v>
      </c>
      <c r="I100" s="273">
        <v>0</v>
      </c>
      <c r="J100" s="847"/>
    </row>
    <row r="101" spans="1:10" ht="18.75" customHeight="1" x14ac:dyDescent="0.2">
      <c r="A101" s="952"/>
      <c r="B101" s="953"/>
      <c r="C101" s="954"/>
      <c r="D101" s="592" t="s">
        <v>102</v>
      </c>
      <c r="E101" s="37">
        <v>0</v>
      </c>
      <c r="F101" s="273">
        <v>0</v>
      </c>
      <c r="G101" s="847"/>
      <c r="H101" s="37">
        <v>0</v>
      </c>
      <c r="I101" s="273">
        <v>0</v>
      </c>
      <c r="J101" s="847"/>
    </row>
    <row r="102" spans="1:10" ht="30" customHeight="1" x14ac:dyDescent="0.2">
      <c r="A102" s="952"/>
      <c r="B102" s="953"/>
      <c r="C102" s="954"/>
      <c r="D102" s="592" t="s">
        <v>103</v>
      </c>
      <c r="E102" s="37">
        <v>0</v>
      </c>
      <c r="F102" s="273">
        <v>0</v>
      </c>
      <c r="G102" s="847"/>
      <c r="H102" s="63">
        <v>0</v>
      </c>
      <c r="I102" s="847">
        <v>0</v>
      </c>
      <c r="J102" s="847"/>
    </row>
    <row r="103" spans="1:10" ht="18.75" customHeight="1" x14ac:dyDescent="0.2">
      <c r="A103" s="952">
        <v>6</v>
      </c>
      <c r="B103" s="953" t="s">
        <v>104</v>
      </c>
      <c r="C103" s="954" t="s">
        <v>1079</v>
      </c>
      <c r="D103" s="60"/>
      <c r="E103" s="38">
        <v>0</v>
      </c>
      <c r="F103" s="277">
        <v>0</v>
      </c>
      <c r="G103" s="847"/>
      <c r="H103" s="45">
        <v>0</v>
      </c>
      <c r="I103" s="278">
        <v>0</v>
      </c>
      <c r="J103" s="847"/>
    </row>
    <row r="104" spans="1:10" ht="18.75" customHeight="1" x14ac:dyDescent="0.2">
      <c r="A104" s="952"/>
      <c r="B104" s="953"/>
      <c r="C104" s="954"/>
      <c r="D104" s="60" t="s">
        <v>105</v>
      </c>
      <c r="E104" s="38">
        <v>0</v>
      </c>
      <c r="F104" s="277">
        <v>0</v>
      </c>
      <c r="G104" s="847"/>
      <c r="H104" s="38">
        <v>0</v>
      </c>
      <c r="I104" s="277">
        <v>0</v>
      </c>
      <c r="J104" s="847"/>
    </row>
    <row r="105" spans="1:10" ht="18.75" customHeight="1" x14ac:dyDescent="0.2">
      <c r="A105" s="952"/>
      <c r="B105" s="953"/>
      <c r="C105" s="954"/>
      <c r="D105" s="60" t="s">
        <v>106</v>
      </c>
      <c r="E105" s="38">
        <v>0</v>
      </c>
      <c r="F105" s="277">
        <v>0</v>
      </c>
      <c r="G105" s="847"/>
      <c r="H105" s="38">
        <v>0</v>
      </c>
      <c r="I105" s="277">
        <v>0</v>
      </c>
      <c r="J105" s="847"/>
    </row>
    <row r="106" spans="1:10" ht="18.75" customHeight="1" x14ac:dyDescent="0.2">
      <c r="A106" s="952"/>
      <c r="B106" s="953"/>
      <c r="C106" s="954"/>
      <c r="D106" s="60" t="s">
        <v>78</v>
      </c>
      <c r="E106" s="37">
        <v>0</v>
      </c>
      <c r="F106" s="277">
        <v>0</v>
      </c>
      <c r="G106" s="847"/>
      <c r="H106" s="37">
        <v>0</v>
      </c>
      <c r="I106" s="273">
        <v>0</v>
      </c>
      <c r="J106" s="847"/>
    </row>
    <row r="107" spans="1:10" ht="18.75" customHeight="1" x14ac:dyDescent="0.2">
      <c r="A107" s="952"/>
      <c r="B107" s="953"/>
      <c r="C107" s="954"/>
      <c r="D107" s="60" t="s">
        <v>107</v>
      </c>
      <c r="E107" s="38">
        <v>0</v>
      </c>
      <c r="F107" s="277">
        <v>0</v>
      </c>
      <c r="G107" s="847"/>
      <c r="H107" s="38">
        <v>0</v>
      </c>
      <c r="I107" s="277">
        <v>0</v>
      </c>
      <c r="J107" s="847"/>
    </row>
    <row r="108" spans="1:10" ht="18.75" customHeight="1" x14ac:dyDescent="0.2">
      <c r="A108" s="952">
        <v>7</v>
      </c>
      <c r="B108" s="946" t="s">
        <v>108</v>
      </c>
      <c r="C108" s="954" t="s">
        <v>1079</v>
      </c>
      <c r="D108" s="60"/>
      <c r="E108" s="38">
        <v>0</v>
      </c>
      <c r="F108" s="277">
        <v>0</v>
      </c>
      <c r="G108" s="847"/>
      <c r="H108" s="38">
        <v>2055202</v>
      </c>
      <c r="I108" s="277">
        <v>1807473</v>
      </c>
      <c r="J108" s="847">
        <f t="shared" si="5"/>
        <v>87.946245673174701</v>
      </c>
    </row>
    <row r="109" spans="1:10" ht="18.75" customHeight="1" x14ac:dyDescent="0.2">
      <c r="A109" s="952"/>
      <c r="B109" s="947"/>
      <c r="C109" s="954"/>
      <c r="D109" s="60" t="s">
        <v>105</v>
      </c>
      <c r="E109" s="38">
        <v>1000</v>
      </c>
      <c r="F109" s="277">
        <v>3000</v>
      </c>
      <c r="G109" s="847">
        <f t="shared" si="6"/>
        <v>300</v>
      </c>
      <c r="H109" s="38">
        <v>82797</v>
      </c>
      <c r="I109" s="277">
        <v>82795.91</v>
      </c>
      <c r="J109" s="847">
        <f t="shared" si="5"/>
        <v>99.998683527180944</v>
      </c>
    </row>
    <row r="110" spans="1:10" ht="18.75" customHeight="1" x14ac:dyDescent="0.2">
      <c r="A110" s="952"/>
      <c r="B110" s="947"/>
      <c r="C110" s="954"/>
      <c r="D110" s="60" t="s">
        <v>109</v>
      </c>
      <c r="E110" s="38">
        <v>0</v>
      </c>
      <c r="F110" s="277">
        <v>0</v>
      </c>
      <c r="G110" s="847"/>
      <c r="H110" s="38">
        <v>0</v>
      </c>
      <c r="I110" s="277">
        <v>0</v>
      </c>
      <c r="J110" s="847"/>
    </row>
    <row r="111" spans="1:10" ht="18.75" customHeight="1" x14ac:dyDescent="0.2">
      <c r="A111" s="952"/>
      <c r="B111" s="948"/>
      <c r="C111" s="954"/>
      <c r="D111" s="60" t="s">
        <v>78</v>
      </c>
      <c r="E111" s="37">
        <v>1289</v>
      </c>
      <c r="F111" s="277">
        <v>3867</v>
      </c>
      <c r="G111" s="847">
        <f t="shared" si="6"/>
        <v>300</v>
      </c>
      <c r="H111" s="37">
        <v>568255</v>
      </c>
      <c r="I111" s="273">
        <v>568247.61</v>
      </c>
      <c r="J111" s="847">
        <f t="shared" ref="J111:J174" si="7">+I111/H111%</f>
        <v>99.998699527500847</v>
      </c>
    </row>
    <row r="112" spans="1:10" ht="18.75" customHeight="1" x14ac:dyDescent="0.2">
      <c r="A112" s="952">
        <v>8</v>
      </c>
      <c r="B112" s="953" t="s">
        <v>110</v>
      </c>
      <c r="C112" s="954" t="s">
        <v>1079</v>
      </c>
      <c r="D112" s="60"/>
      <c r="E112" s="38">
        <v>0</v>
      </c>
      <c r="F112" s="277">
        <v>0</v>
      </c>
      <c r="G112" s="847"/>
      <c r="H112" s="38">
        <v>0</v>
      </c>
      <c r="I112" s="277">
        <v>0</v>
      </c>
      <c r="J112" s="847"/>
    </row>
    <row r="113" spans="1:10" ht="18.75" customHeight="1" x14ac:dyDescent="0.2">
      <c r="A113" s="952"/>
      <c r="B113" s="953"/>
      <c r="C113" s="954"/>
      <c r="D113" s="60" t="s">
        <v>111</v>
      </c>
      <c r="E113" s="38">
        <v>74</v>
      </c>
      <c r="F113" s="277">
        <v>222</v>
      </c>
      <c r="G113" s="847">
        <f t="shared" si="6"/>
        <v>300</v>
      </c>
      <c r="H113" s="38">
        <v>221112</v>
      </c>
      <c r="I113" s="277">
        <v>221112</v>
      </c>
      <c r="J113" s="847">
        <f t="shared" si="7"/>
        <v>100</v>
      </c>
    </row>
    <row r="114" spans="1:10" ht="18.75" customHeight="1" x14ac:dyDescent="0.2">
      <c r="A114" s="952"/>
      <c r="B114" s="953"/>
      <c r="C114" s="954"/>
      <c r="D114" s="60" t="s">
        <v>112</v>
      </c>
      <c r="E114" s="38">
        <v>0</v>
      </c>
      <c r="F114" s="277">
        <v>0</v>
      </c>
      <c r="G114" s="847" t="e">
        <f t="shared" si="6"/>
        <v>#DIV/0!</v>
      </c>
      <c r="H114" s="38">
        <v>0</v>
      </c>
      <c r="I114" s="277">
        <v>0</v>
      </c>
      <c r="J114" s="847"/>
    </row>
    <row r="115" spans="1:10" ht="18.75" customHeight="1" x14ac:dyDescent="0.2">
      <c r="A115" s="952"/>
      <c r="B115" s="953"/>
      <c r="C115" s="954"/>
      <c r="D115" s="60" t="s">
        <v>109</v>
      </c>
      <c r="E115" s="38">
        <v>35</v>
      </c>
      <c r="F115" s="277">
        <v>105</v>
      </c>
      <c r="G115" s="847">
        <f t="shared" si="6"/>
        <v>300</v>
      </c>
      <c r="H115" s="38">
        <v>104580</v>
      </c>
      <c r="I115" s="277">
        <v>104580</v>
      </c>
      <c r="J115" s="847">
        <f t="shared" si="7"/>
        <v>100</v>
      </c>
    </row>
    <row r="116" spans="1:10" ht="18.75" customHeight="1" x14ac:dyDescent="0.2">
      <c r="A116" s="952"/>
      <c r="B116" s="953"/>
      <c r="C116" s="954"/>
      <c r="D116" s="60" t="s">
        <v>78</v>
      </c>
      <c r="E116" s="38">
        <v>0</v>
      </c>
      <c r="F116" s="277">
        <v>0</v>
      </c>
      <c r="G116" s="847"/>
      <c r="H116" s="38">
        <v>0</v>
      </c>
      <c r="I116" s="277">
        <v>0</v>
      </c>
      <c r="J116" s="847"/>
    </row>
    <row r="117" spans="1:10" ht="18.75" customHeight="1" x14ac:dyDescent="0.2">
      <c r="A117" s="952">
        <v>9</v>
      </c>
      <c r="B117" s="953" t="s">
        <v>113</v>
      </c>
      <c r="C117" s="954" t="s">
        <v>1079</v>
      </c>
      <c r="D117" s="60"/>
      <c r="E117" s="38">
        <v>0</v>
      </c>
      <c r="F117" s="277">
        <v>0</v>
      </c>
      <c r="G117" s="847"/>
      <c r="H117" s="38">
        <v>278380</v>
      </c>
      <c r="I117" s="277">
        <v>278380</v>
      </c>
      <c r="J117" s="847">
        <f t="shared" si="7"/>
        <v>100</v>
      </c>
    </row>
    <row r="118" spans="1:10" ht="18.75" customHeight="1" x14ac:dyDescent="0.2">
      <c r="A118" s="952"/>
      <c r="B118" s="953"/>
      <c r="C118" s="954"/>
      <c r="D118" s="60" t="s">
        <v>105</v>
      </c>
      <c r="E118" s="38">
        <v>950</v>
      </c>
      <c r="F118" s="277">
        <v>2850</v>
      </c>
      <c r="G118" s="847">
        <f t="shared" si="6"/>
        <v>300</v>
      </c>
      <c r="H118" s="38">
        <v>79764</v>
      </c>
      <c r="I118" s="277">
        <v>79764</v>
      </c>
      <c r="J118" s="847">
        <f t="shared" si="7"/>
        <v>100</v>
      </c>
    </row>
    <row r="119" spans="1:10" ht="18.75" customHeight="1" x14ac:dyDescent="0.2">
      <c r="A119" s="952"/>
      <c r="B119" s="953"/>
      <c r="C119" s="954"/>
      <c r="D119" s="60" t="s">
        <v>78</v>
      </c>
      <c r="E119" s="38">
        <v>305</v>
      </c>
      <c r="F119" s="277">
        <v>915</v>
      </c>
      <c r="G119" s="847">
        <f t="shared" si="6"/>
        <v>300</v>
      </c>
      <c r="H119" s="38">
        <v>130329</v>
      </c>
      <c r="I119" s="277">
        <v>130327.39</v>
      </c>
      <c r="J119" s="847">
        <f t="shared" si="7"/>
        <v>99.998764664809826</v>
      </c>
    </row>
    <row r="120" spans="1:10" ht="18.75" customHeight="1" x14ac:dyDescent="0.2">
      <c r="A120" s="952">
        <v>10</v>
      </c>
      <c r="B120" s="953" t="s">
        <v>446</v>
      </c>
      <c r="C120" s="954" t="s">
        <v>1079</v>
      </c>
      <c r="D120" s="60"/>
      <c r="E120" s="38">
        <v>0</v>
      </c>
      <c r="F120" s="277">
        <v>0</v>
      </c>
      <c r="G120" s="847"/>
      <c r="H120" s="38">
        <v>0</v>
      </c>
      <c r="I120" s="277">
        <v>0</v>
      </c>
      <c r="J120" s="847"/>
    </row>
    <row r="121" spans="1:10" ht="18.75" customHeight="1" x14ac:dyDescent="0.2">
      <c r="A121" s="952"/>
      <c r="B121" s="953"/>
      <c r="C121" s="954"/>
      <c r="D121" s="60" t="s">
        <v>85</v>
      </c>
      <c r="E121" s="38">
        <v>0</v>
      </c>
      <c r="F121" s="277">
        <v>0</v>
      </c>
      <c r="G121" s="847"/>
      <c r="H121" s="38">
        <v>0</v>
      </c>
      <c r="I121" s="277">
        <v>0</v>
      </c>
      <c r="J121" s="847"/>
    </row>
    <row r="122" spans="1:10" ht="18.75" customHeight="1" x14ac:dyDescent="0.2">
      <c r="A122" s="952"/>
      <c r="B122" s="953"/>
      <c r="C122" s="954"/>
      <c r="D122" s="60" t="s">
        <v>109</v>
      </c>
      <c r="E122" s="38">
        <v>0</v>
      </c>
      <c r="F122" s="277">
        <v>0</v>
      </c>
      <c r="G122" s="847"/>
      <c r="H122" s="38">
        <v>0</v>
      </c>
      <c r="I122" s="277">
        <v>0</v>
      </c>
      <c r="J122" s="847"/>
    </row>
    <row r="123" spans="1:10" ht="18.75" customHeight="1" x14ac:dyDescent="0.2">
      <c r="A123" s="952"/>
      <c r="B123" s="953"/>
      <c r="C123" s="954"/>
      <c r="D123" s="60" t="s">
        <v>78</v>
      </c>
      <c r="E123" s="37">
        <v>0</v>
      </c>
      <c r="F123" s="277">
        <v>0</v>
      </c>
      <c r="G123" s="847"/>
      <c r="H123" s="38">
        <v>0</v>
      </c>
      <c r="I123" s="277">
        <v>0</v>
      </c>
      <c r="J123" s="847"/>
    </row>
    <row r="124" spans="1:10" ht="18.75" customHeight="1" x14ac:dyDescent="0.2">
      <c r="A124" s="952">
        <v>11</v>
      </c>
      <c r="B124" s="953" t="s">
        <v>114</v>
      </c>
      <c r="C124" s="954" t="s">
        <v>1079</v>
      </c>
      <c r="D124" s="60" t="s">
        <v>85</v>
      </c>
      <c r="E124" s="38">
        <v>1</v>
      </c>
      <c r="F124" s="277">
        <v>3</v>
      </c>
      <c r="G124" s="847">
        <f t="shared" ref="G124:G186" si="8">+F124/E124%</f>
        <v>300</v>
      </c>
      <c r="H124" s="38">
        <v>1270943</v>
      </c>
      <c r="I124" s="277">
        <v>1270942.5699999998</v>
      </c>
      <c r="J124" s="847">
        <f t="shared" si="7"/>
        <v>99.999966166854051</v>
      </c>
    </row>
    <row r="125" spans="1:10" ht="18.75" customHeight="1" x14ac:dyDescent="0.2">
      <c r="A125" s="952"/>
      <c r="B125" s="953"/>
      <c r="C125" s="954"/>
      <c r="D125" s="60" t="s">
        <v>105</v>
      </c>
      <c r="E125" s="38">
        <v>950</v>
      </c>
      <c r="F125" s="277">
        <v>2850</v>
      </c>
      <c r="G125" s="847">
        <f t="shared" si="8"/>
        <v>300</v>
      </c>
      <c r="H125" s="38">
        <v>323593</v>
      </c>
      <c r="I125" s="277">
        <v>323590.62</v>
      </c>
      <c r="J125" s="847">
        <f t="shared" si="7"/>
        <v>99.999264508193932</v>
      </c>
    </row>
    <row r="126" spans="1:10" ht="18.75" customHeight="1" x14ac:dyDescent="0.2">
      <c r="A126" s="952"/>
      <c r="B126" s="953"/>
      <c r="C126" s="954"/>
      <c r="D126" s="60" t="s">
        <v>109</v>
      </c>
      <c r="E126" s="38">
        <v>11</v>
      </c>
      <c r="F126" s="277">
        <v>33</v>
      </c>
      <c r="G126" s="847">
        <f t="shared" si="8"/>
        <v>300</v>
      </c>
      <c r="H126" s="38">
        <v>124447</v>
      </c>
      <c r="I126" s="277">
        <v>124447</v>
      </c>
      <c r="J126" s="847">
        <f t="shared" si="7"/>
        <v>100</v>
      </c>
    </row>
    <row r="127" spans="1:10" ht="18.75" customHeight="1" x14ac:dyDescent="0.2">
      <c r="A127" s="952"/>
      <c r="B127" s="953"/>
      <c r="C127" s="954"/>
      <c r="D127" s="60" t="s">
        <v>78</v>
      </c>
      <c r="E127" s="37">
        <v>1585</v>
      </c>
      <c r="F127" s="277">
        <v>4755</v>
      </c>
      <c r="G127" s="847">
        <f t="shared" si="8"/>
        <v>300</v>
      </c>
      <c r="H127" s="37">
        <v>1303783</v>
      </c>
      <c r="I127" s="273">
        <v>1303773.17</v>
      </c>
      <c r="J127" s="847">
        <f t="shared" si="7"/>
        <v>99.999246040176928</v>
      </c>
    </row>
    <row r="128" spans="1:10" ht="18.75" customHeight="1" x14ac:dyDescent="0.2">
      <c r="A128" s="952">
        <v>12</v>
      </c>
      <c r="B128" s="953" t="s">
        <v>115</v>
      </c>
      <c r="C128" s="954" t="s">
        <v>1079</v>
      </c>
      <c r="D128" s="60"/>
      <c r="E128" s="38">
        <v>0</v>
      </c>
      <c r="F128" s="277">
        <v>0</v>
      </c>
      <c r="G128" s="847"/>
      <c r="H128" s="38">
        <v>307930</v>
      </c>
      <c r="I128" s="277">
        <v>307930</v>
      </c>
      <c r="J128" s="847">
        <f t="shared" si="7"/>
        <v>100</v>
      </c>
    </row>
    <row r="129" spans="1:10" ht="18.75" customHeight="1" x14ac:dyDescent="0.2">
      <c r="A129" s="952"/>
      <c r="B129" s="953"/>
      <c r="C129" s="954"/>
      <c r="D129" s="60" t="s">
        <v>85</v>
      </c>
      <c r="E129" s="38">
        <v>0</v>
      </c>
      <c r="F129" s="277">
        <v>0</v>
      </c>
      <c r="G129" s="847"/>
      <c r="H129" s="38">
        <v>0</v>
      </c>
      <c r="I129" s="277">
        <v>0</v>
      </c>
      <c r="J129" s="847"/>
    </row>
    <row r="130" spans="1:10" ht="18.75" customHeight="1" x14ac:dyDescent="0.2">
      <c r="A130" s="952"/>
      <c r="B130" s="953"/>
      <c r="C130" s="954"/>
      <c r="D130" s="60" t="s">
        <v>109</v>
      </c>
      <c r="E130" s="38">
        <v>0</v>
      </c>
      <c r="F130" s="277">
        <v>0</v>
      </c>
      <c r="G130" s="847"/>
      <c r="H130" s="38">
        <v>0</v>
      </c>
      <c r="I130" s="277">
        <v>0</v>
      </c>
      <c r="J130" s="847"/>
    </row>
    <row r="131" spans="1:10" ht="18.75" customHeight="1" x14ac:dyDescent="0.2">
      <c r="A131" s="952"/>
      <c r="B131" s="953"/>
      <c r="C131" s="954"/>
      <c r="D131" s="60" t="s">
        <v>78</v>
      </c>
      <c r="E131" s="38">
        <v>0</v>
      </c>
      <c r="F131" s="277">
        <v>0</v>
      </c>
      <c r="G131" s="847"/>
      <c r="H131" s="38">
        <v>0</v>
      </c>
      <c r="I131" s="277">
        <v>0</v>
      </c>
      <c r="J131" s="847"/>
    </row>
    <row r="132" spans="1:10" ht="18.75" customHeight="1" x14ac:dyDescent="0.2">
      <c r="A132" s="952">
        <v>13</v>
      </c>
      <c r="B132" s="953" t="s">
        <v>116</v>
      </c>
      <c r="C132" s="954" t="s">
        <v>1079</v>
      </c>
      <c r="D132" s="60"/>
      <c r="E132" s="38">
        <v>0</v>
      </c>
      <c r="F132" s="277">
        <v>0</v>
      </c>
      <c r="G132" s="847"/>
      <c r="H132" s="38">
        <v>0</v>
      </c>
      <c r="I132" s="277">
        <v>0</v>
      </c>
      <c r="J132" s="847"/>
    </row>
    <row r="133" spans="1:10" ht="18.75" customHeight="1" x14ac:dyDescent="0.2">
      <c r="A133" s="952"/>
      <c r="B133" s="953"/>
      <c r="C133" s="954"/>
      <c r="D133" s="60" t="s">
        <v>85</v>
      </c>
      <c r="E133" s="38">
        <v>0</v>
      </c>
      <c r="F133" s="277">
        <v>0</v>
      </c>
      <c r="G133" s="847"/>
      <c r="H133" s="38">
        <v>0</v>
      </c>
      <c r="I133" s="277">
        <v>0</v>
      </c>
      <c r="J133" s="847"/>
    </row>
    <row r="134" spans="1:10" ht="18.75" customHeight="1" x14ac:dyDescent="0.2">
      <c r="A134" s="952"/>
      <c r="B134" s="953"/>
      <c r="C134" s="954"/>
      <c r="D134" s="60" t="s">
        <v>109</v>
      </c>
      <c r="E134" s="38">
        <v>0</v>
      </c>
      <c r="F134" s="277">
        <v>0</v>
      </c>
      <c r="G134" s="847"/>
      <c r="H134" s="38">
        <v>0</v>
      </c>
      <c r="I134" s="277">
        <v>0</v>
      </c>
      <c r="J134" s="847"/>
    </row>
    <row r="135" spans="1:10" ht="18.75" customHeight="1" x14ac:dyDescent="0.2">
      <c r="A135" s="952"/>
      <c r="B135" s="953"/>
      <c r="C135" s="954"/>
      <c r="D135" s="60" t="s">
        <v>78</v>
      </c>
      <c r="E135" s="38">
        <v>0</v>
      </c>
      <c r="F135" s="277">
        <v>0</v>
      </c>
      <c r="G135" s="847"/>
      <c r="H135" s="38">
        <v>0</v>
      </c>
      <c r="I135" s="277">
        <v>0</v>
      </c>
      <c r="J135" s="847"/>
    </row>
    <row r="136" spans="1:10" ht="18.75" customHeight="1" x14ac:dyDescent="0.2">
      <c r="A136" s="952">
        <v>14</v>
      </c>
      <c r="B136" s="953" t="s">
        <v>117</v>
      </c>
      <c r="C136" s="954" t="s">
        <v>1079</v>
      </c>
      <c r="D136" s="60"/>
      <c r="E136" s="38">
        <v>0</v>
      </c>
      <c r="F136" s="277">
        <v>0</v>
      </c>
      <c r="G136" s="847"/>
      <c r="H136" s="38">
        <v>105764</v>
      </c>
      <c r="I136" s="277">
        <v>0</v>
      </c>
      <c r="J136" s="847"/>
    </row>
    <row r="137" spans="1:10" ht="18.75" customHeight="1" x14ac:dyDescent="0.2">
      <c r="A137" s="952"/>
      <c r="B137" s="953"/>
      <c r="C137" s="954"/>
      <c r="D137" s="60" t="s">
        <v>85</v>
      </c>
      <c r="E137" s="38">
        <v>0</v>
      </c>
      <c r="F137" s="277">
        <v>0</v>
      </c>
      <c r="G137" s="847"/>
      <c r="H137" s="38">
        <v>0</v>
      </c>
      <c r="I137" s="277">
        <v>0</v>
      </c>
      <c r="J137" s="847"/>
    </row>
    <row r="138" spans="1:10" ht="18.75" customHeight="1" x14ac:dyDescent="0.2">
      <c r="A138" s="952"/>
      <c r="B138" s="953"/>
      <c r="C138" s="954"/>
      <c r="D138" s="60" t="s">
        <v>109</v>
      </c>
      <c r="E138" s="38">
        <v>0</v>
      </c>
      <c r="F138" s="277">
        <v>0</v>
      </c>
      <c r="G138" s="847"/>
      <c r="H138" s="38">
        <v>0</v>
      </c>
      <c r="I138" s="277">
        <v>0</v>
      </c>
      <c r="J138" s="847"/>
    </row>
    <row r="139" spans="1:10" ht="18.75" customHeight="1" x14ac:dyDescent="0.2">
      <c r="A139" s="363">
        <v>15</v>
      </c>
      <c r="B139" s="817" t="s">
        <v>118</v>
      </c>
      <c r="C139" s="60" t="s">
        <v>1079</v>
      </c>
      <c r="D139" s="60" t="s">
        <v>289</v>
      </c>
      <c r="E139" s="38">
        <v>12833</v>
      </c>
      <c r="F139" s="277">
        <v>38499</v>
      </c>
      <c r="G139" s="847">
        <f t="shared" si="8"/>
        <v>299.99999999999994</v>
      </c>
      <c r="H139" s="38">
        <v>70003659</v>
      </c>
      <c r="I139" s="277">
        <v>69999312.569999993</v>
      </c>
      <c r="J139" s="847">
        <f t="shared" si="7"/>
        <v>99.993791138831753</v>
      </c>
    </row>
    <row r="140" spans="1:10" ht="25.5" customHeight="1" x14ac:dyDescent="0.2">
      <c r="A140" s="955">
        <v>16</v>
      </c>
      <c r="B140" s="956" t="s">
        <v>2305</v>
      </c>
      <c r="C140" s="957" t="s">
        <v>46</v>
      </c>
      <c r="D140" s="815"/>
      <c r="E140" s="38">
        <v>0</v>
      </c>
      <c r="F140" s="273">
        <v>0</v>
      </c>
      <c r="G140" s="847"/>
      <c r="H140" s="38">
        <v>282884</v>
      </c>
      <c r="I140" s="277">
        <v>282700.19999999995</v>
      </c>
      <c r="J140" s="847">
        <f t="shared" si="7"/>
        <v>99.93502637123342</v>
      </c>
    </row>
    <row r="141" spans="1:10" ht="25.5" customHeight="1" x14ac:dyDescent="0.2">
      <c r="A141" s="955"/>
      <c r="B141" s="956"/>
      <c r="C141" s="957"/>
      <c r="D141" s="815" t="s">
        <v>85</v>
      </c>
      <c r="E141" s="38">
        <v>7</v>
      </c>
      <c r="F141" s="273">
        <v>21</v>
      </c>
      <c r="G141" s="847">
        <f t="shared" si="8"/>
        <v>299.99999999999994</v>
      </c>
      <c r="H141" s="38">
        <v>149228</v>
      </c>
      <c r="I141" s="277">
        <v>149185.29</v>
      </c>
      <c r="J141" s="847">
        <f t="shared" si="7"/>
        <v>99.971379365802676</v>
      </c>
    </row>
    <row r="142" spans="1:10" ht="18.75" customHeight="1" x14ac:dyDescent="0.2">
      <c r="A142" s="955"/>
      <c r="B142" s="956"/>
      <c r="C142" s="957"/>
      <c r="D142" s="815" t="s">
        <v>109</v>
      </c>
      <c r="E142" s="845">
        <v>0</v>
      </c>
      <c r="F142" s="847">
        <v>0</v>
      </c>
      <c r="G142" s="847"/>
      <c r="H142" s="24">
        <v>0</v>
      </c>
      <c r="I142" s="318">
        <v>0</v>
      </c>
      <c r="J142" s="847"/>
    </row>
    <row r="143" spans="1:10" ht="18.75" customHeight="1" x14ac:dyDescent="0.2">
      <c r="A143" s="816">
        <v>17</v>
      </c>
      <c r="B143" s="817" t="s">
        <v>65</v>
      </c>
      <c r="C143" s="815" t="s">
        <v>1079</v>
      </c>
      <c r="D143" s="821" t="s">
        <v>66</v>
      </c>
      <c r="E143" s="38">
        <v>142</v>
      </c>
      <c r="F143" s="273">
        <v>433</v>
      </c>
      <c r="G143" s="847">
        <f t="shared" si="8"/>
        <v>304.92957746478874</v>
      </c>
      <c r="H143" s="38">
        <v>241925</v>
      </c>
      <c r="I143" s="277">
        <v>204040.65</v>
      </c>
      <c r="J143" s="847">
        <f t="shared" si="7"/>
        <v>84.340456753125963</v>
      </c>
    </row>
    <row r="144" spans="1:10" ht="27.75" customHeight="1" x14ac:dyDescent="0.2">
      <c r="A144" s="816">
        <v>18</v>
      </c>
      <c r="B144" s="817" t="s">
        <v>119</v>
      </c>
      <c r="C144" s="815" t="s">
        <v>1079</v>
      </c>
      <c r="D144" s="821" t="s">
        <v>120</v>
      </c>
      <c r="E144" s="38">
        <v>259</v>
      </c>
      <c r="F144" s="273">
        <v>784</v>
      </c>
      <c r="G144" s="847">
        <f t="shared" si="8"/>
        <v>302.70270270270271</v>
      </c>
      <c r="H144" s="38">
        <v>759223</v>
      </c>
      <c r="I144" s="277">
        <v>208595.09999999998</v>
      </c>
      <c r="J144" s="847">
        <f t="shared" si="7"/>
        <v>27.474813065462978</v>
      </c>
    </row>
    <row r="145" spans="1:10" ht="28.5" customHeight="1" x14ac:dyDescent="0.2">
      <c r="A145" s="363">
        <v>19</v>
      </c>
      <c r="B145" s="833" t="s">
        <v>121</v>
      </c>
      <c r="C145" s="60" t="s">
        <v>1079</v>
      </c>
      <c r="D145" s="592" t="s">
        <v>120</v>
      </c>
      <c r="E145" s="845">
        <v>8</v>
      </c>
      <c r="F145" s="847">
        <v>24</v>
      </c>
      <c r="G145" s="847">
        <f t="shared" si="8"/>
        <v>300</v>
      </c>
      <c r="H145" s="845">
        <v>6118</v>
      </c>
      <c r="I145" s="847">
        <v>6118</v>
      </c>
      <c r="J145" s="847">
        <f t="shared" si="7"/>
        <v>100</v>
      </c>
    </row>
    <row r="146" spans="1:10" ht="18.75" customHeight="1" x14ac:dyDescent="0.2">
      <c r="A146" s="952">
        <v>20</v>
      </c>
      <c r="B146" s="953" t="s">
        <v>122</v>
      </c>
      <c r="C146" s="954" t="s">
        <v>1079</v>
      </c>
      <c r="D146" s="471"/>
      <c r="E146" s="38">
        <v>0</v>
      </c>
      <c r="F146" s="273">
        <v>0</v>
      </c>
      <c r="G146" s="847"/>
      <c r="H146" s="38">
        <v>41347911</v>
      </c>
      <c r="I146" s="277">
        <v>41347876.149999999</v>
      </c>
      <c r="J146" s="847">
        <f t="shared" si="7"/>
        <v>99.999915715209895</v>
      </c>
    </row>
    <row r="147" spans="1:10" ht="18.75" customHeight="1" x14ac:dyDescent="0.2">
      <c r="A147" s="952"/>
      <c r="B147" s="953"/>
      <c r="C147" s="954"/>
      <c r="D147" s="592" t="s">
        <v>85</v>
      </c>
      <c r="E147" s="38">
        <v>1226</v>
      </c>
      <c r="F147" s="273">
        <v>3678</v>
      </c>
      <c r="G147" s="847">
        <f t="shared" si="8"/>
        <v>300</v>
      </c>
      <c r="H147" s="38">
        <v>46696873</v>
      </c>
      <c r="I147" s="277">
        <v>46696411.640000001</v>
      </c>
      <c r="J147" s="847">
        <f t="shared" si="7"/>
        <v>99.999012010932731</v>
      </c>
    </row>
    <row r="148" spans="1:10" ht="18.75" customHeight="1" x14ac:dyDescent="0.2">
      <c r="A148" s="952"/>
      <c r="B148" s="953"/>
      <c r="C148" s="954"/>
      <c r="D148" s="592" t="s">
        <v>109</v>
      </c>
      <c r="E148" s="845">
        <v>202</v>
      </c>
      <c r="F148" s="847">
        <v>606</v>
      </c>
      <c r="G148" s="847">
        <f t="shared" si="8"/>
        <v>300</v>
      </c>
      <c r="H148" s="845">
        <v>1373530</v>
      </c>
      <c r="I148" s="847">
        <v>1373530</v>
      </c>
      <c r="J148" s="847">
        <f t="shared" si="7"/>
        <v>100</v>
      </c>
    </row>
    <row r="149" spans="1:10" ht="18.75" customHeight="1" x14ac:dyDescent="0.2">
      <c r="A149" s="952">
        <v>21</v>
      </c>
      <c r="B149" s="953" t="s">
        <v>123</v>
      </c>
      <c r="C149" s="954" t="s">
        <v>1079</v>
      </c>
      <c r="D149" s="471"/>
      <c r="E149" s="38">
        <v>0</v>
      </c>
      <c r="F149" s="273">
        <v>0</v>
      </c>
      <c r="G149" s="847"/>
      <c r="H149" s="38">
        <v>154928084</v>
      </c>
      <c r="I149" s="277">
        <v>154926367.48000002</v>
      </c>
      <c r="J149" s="847">
        <f t="shared" si="7"/>
        <v>99.998892053683448</v>
      </c>
    </row>
    <row r="150" spans="1:10" ht="18.75" customHeight="1" x14ac:dyDescent="0.2">
      <c r="A150" s="952"/>
      <c r="B150" s="953"/>
      <c r="C150" s="954"/>
      <c r="D150" s="592" t="s">
        <v>85</v>
      </c>
      <c r="E150" s="38">
        <v>2062</v>
      </c>
      <c r="F150" s="273">
        <v>6186</v>
      </c>
      <c r="G150" s="847">
        <f t="shared" si="8"/>
        <v>300</v>
      </c>
      <c r="H150" s="38">
        <v>169809461</v>
      </c>
      <c r="I150" s="277">
        <v>169806142.41</v>
      </c>
      <c r="J150" s="847">
        <f t="shared" si="7"/>
        <v>99.99804569781891</v>
      </c>
    </row>
    <row r="151" spans="1:10" ht="18.75" customHeight="1" x14ac:dyDescent="0.2">
      <c r="A151" s="952"/>
      <c r="B151" s="953"/>
      <c r="C151" s="954"/>
      <c r="D151" s="592" t="s">
        <v>109</v>
      </c>
      <c r="E151" s="845">
        <v>904</v>
      </c>
      <c r="F151" s="273">
        <v>2712</v>
      </c>
      <c r="G151" s="847">
        <f t="shared" si="8"/>
        <v>300</v>
      </c>
      <c r="H151" s="845">
        <v>7926799</v>
      </c>
      <c r="I151" s="847">
        <v>7926799</v>
      </c>
      <c r="J151" s="847">
        <f t="shared" si="7"/>
        <v>100</v>
      </c>
    </row>
    <row r="152" spans="1:10" ht="18.75" customHeight="1" x14ac:dyDescent="0.2">
      <c r="A152" s="952">
        <v>22</v>
      </c>
      <c r="B152" s="953" t="s">
        <v>124</v>
      </c>
      <c r="C152" s="954" t="s">
        <v>1079</v>
      </c>
      <c r="D152" s="471"/>
      <c r="E152" s="38">
        <v>0</v>
      </c>
      <c r="F152" s="273">
        <v>0</v>
      </c>
      <c r="G152" s="847"/>
      <c r="H152" s="38">
        <v>63700224</v>
      </c>
      <c r="I152" s="277">
        <v>63699914.059999995</v>
      </c>
      <c r="J152" s="847">
        <f t="shared" si="7"/>
        <v>99.999513439701559</v>
      </c>
    </row>
    <row r="153" spans="1:10" ht="18.75" customHeight="1" x14ac:dyDescent="0.2">
      <c r="A153" s="952"/>
      <c r="B153" s="953"/>
      <c r="C153" s="954"/>
      <c r="D153" s="592" t="s">
        <v>85</v>
      </c>
      <c r="E153" s="38">
        <v>453</v>
      </c>
      <c r="F153" s="273">
        <v>1359</v>
      </c>
      <c r="G153" s="847">
        <f t="shared" si="8"/>
        <v>300</v>
      </c>
      <c r="H153" s="38">
        <v>104899746</v>
      </c>
      <c r="I153" s="277">
        <v>104898984.02</v>
      </c>
      <c r="J153" s="847">
        <f t="shared" si="7"/>
        <v>99.999273611205879</v>
      </c>
    </row>
    <row r="154" spans="1:10" ht="18.75" customHeight="1" x14ac:dyDescent="0.2">
      <c r="A154" s="952"/>
      <c r="B154" s="953"/>
      <c r="C154" s="954"/>
      <c r="D154" s="592" t="s">
        <v>109</v>
      </c>
      <c r="E154" s="38">
        <v>589</v>
      </c>
      <c r="F154" s="273">
        <v>1767</v>
      </c>
      <c r="G154" s="847">
        <f t="shared" si="8"/>
        <v>300</v>
      </c>
      <c r="H154" s="38">
        <v>3431339</v>
      </c>
      <c r="I154" s="277">
        <v>3431339</v>
      </c>
      <c r="J154" s="847">
        <f t="shared" si="7"/>
        <v>100</v>
      </c>
    </row>
    <row r="155" spans="1:10" ht="18.75" customHeight="1" x14ac:dyDescent="0.2">
      <c r="A155" s="952">
        <v>23</v>
      </c>
      <c r="B155" s="953" t="s">
        <v>125</v>
      </c>
      <c r="C155" s="954" t="s">
        <v>1079</v>
      </c>
      <c r="D155" s="592"/>
      <c r="E155" s="845">
        <v>0</v>
      </c>
      <c r="F155" s="273">
        <v>0</v>
      </c>
      <c r="G155" s="847"/>
      <c r="H155" s="845">
        <v>106653</v>
      </c>
      <c r="I155" s="847">
        <v>106652.12</v>
      </c>
      <c r="J155" s="847">
        <f t="shared" si="7"/>
        <v>99.999174894283328</v>
      </c>
    </row>
    <row r="156" spans="1:10" ht="18.75" customHeight="1" x14ac:dyDescent="0.2">
      <c r="A156" s="952"/>
      <c r="B156" s="953"/>
      <c r="C156" s="954"/>
      <c r="D156" s="592" t="s">
        <v>126</v>
      </c>
      <c r="E156" s="38">
        <v>957</v>
      </c>
      <c r="F156" s="273">
        <v>2871</v>
      </c>
      <c r="G156" s="847">
        <f t="shared" si="8"/>
        <v>300</v>
      </c>
      <c r="H156" s="38">
        <v>289534</v>
      </c>
      <c r="I156" s="277">
        <v>288284.29000000004</v>
      </c>
      <c r="J156" s="847">
        <f t="shared" si="7"/>
        <v>99.568371935593063</v>
      </c>
    </row>
    <row r="157" spans="1:10" ht="18.75" customHeight="1" x14ac:dyDescent="0.2">
      <c r="A157" s="952"/>
      <c r="B157" s="953"/>
      <c r="C157" s="954"/>
      <c r="D157" s="592" t="s">
        <v>109</v>
      </c>
      <c r="E157" s="38">
        <v>0</v>
      </c>
      <c r="F157" s="273">
        <v>0</v>
      </c>
      <c r="G157" s="847"/>
      <c r="H157" s="38">
        <v>0</v>
      </c>
      <c r="I157" s="277">
        <v>0</v>
      </c>
      <c r="J157" s="847"/>
    </row>
    <row r="158" spans="1:10" ht="18.75" customHeight="1" x14ac:dyDescent="0.2">
      <c r="A158" s="952"/>
      <c r="B158" s="953"/>
      <c r="C158" s="954"/>
      <c r="D158" s="592" t="s">
        <v>78</v>
      </c>
      <c r="E158" s="38">
        <v>0</v>
      </c>
      <c r="F158" s="273">
        <v>0</v>
      </c>
      <c r="G158" s="847"/>
      <c r="H158" s="38">
        <v>0</v>
      </c>
      <c r="I158" s="277">
        <v>0</v>
      </c>
      <c r="J158" s="847"/>
    </row>
    <row r="159" spans="1:10" ht="18.75" customHeight="1" x14ac:dyDescent="0.2">
      <c r="A159" s="952">
        <v>24</v>
      </c>
      <c r="B159" s="953" t="s">
        <v>127</v>
      </c>
      <c r="C159" s="954" t="s">
        <v>1079</v>
      </c>
      <c r="D159" s="592"/>
      <c r="E159" s="845">
        <v>0</v>
      </c>
      <c r="F159" s="273">
        <v>0</v>
      </c>
      <c r="G159" s="847"/>
      <c r="H159" s="845">
        <v>516567</v>
      </c>
      <c r="I159" s="847">
        <v>516565.45</v>
      </c>
      <c r="J159" s="847">
        <f t="shared" si="7"/>
        <v>99.999699942117871</v>
      </c>
    </row>
    <row r="160" spans="1:10" ht="18.75" customHeight="1" x14ac:dyDescent="0.2">
      <c r="A160" s="952"/>
      <c r="B160" s="953"/>
      <c r="C160" s="954"/>
      <c r="D160" s="592" t="s">
        <v>126</v>
      </c>
      <c r="E160" s="38">
        <v>1841</v>
      </c>
      <c r="F160" s="273">
        <v>5523</v>
      </c>
      <c r="G160" s="847">
        <f t="shared" si="8"/>
        <v>300</v>
      </c>
      <c r="H160" s="38">
        <v>669637</v>
      </c>
      <c r="I160" s="277">
        <v>655040.79</v>
      </c>
      <c r="J160" s="847">
        <f t="shared" si="7"/>
        <v>97.820280241384523</v>
      </c>
    </row>
    <row r="161" spans="1:10" ht="18.75" customHeight="1" x14ac:dyDescent="0.2">
      <c r="A161" s="952"/>
      <c r="B161" s="953"/>
      <c r="C161" s="954"/>
      <c r="D161" s="592" t="s">
        <v>109</v>
      </c>
      <c r="E161" s="38">
        <v>277</v>
      </c>
      <c r="F161" s="273">
        <v>831</v>
      </c>
      <c r="G161" s="847">
        <f t="shared" si="8"/>
        <v>300</v>
      </c>
      <c r="H161" s="38">
        <v>0</v>
      </c>
      <c r="I161" s="277">
        <v>0</v>
      </c>
      <c r="J161" s="847"/>
    </row>
    <row r="162" spans="1:10" ht="18.75" customHeight="1" x14ac:dyDescent="0.2">
      <c r="A162" s="952"/>
      <c r="B162" s="953"/>
      <c r="C162" s="954"/>
      <c r="D162" s="592" t="s">
        <v>78</v>
      </c>
      <c r="E162" s="38">
        <v>1374</v>
      </c>
      <c r="F162" s="273">
        <v>4122</v>
      </c>
      <c r="G162" s="847">
        <f t="shared" si="8"/>
        <v>300</v>
      </c>
      <c r="H162" s="38">
        <v>0</v>
      </c>
      <c r="I162" s="277">
        <v>0</v>
      </c>
      <c r="J162" s="847"/>
    </row>
    <row r="163" spans="1:10" ht="18.75" customHeight="1" x14ac:dyDescent="0.2">
      <c r="A163" s="952">
        <v>25</v>
      </c>
      <c r="B163" s="953" t="s">
        <v>128</v>
      </c>
      <c r="C163" s="954" t="s">
        <v>1079</v>
      </c>
      <c r="D163" s="592"/>
      <c r="E163" s="38">
        <v>0</v>
      </c>
      <c r="F163" s="273">
        <v>0</v>
      </c>
      <c r="G163" s="847"/>
      <c r="H163" s="38">
        <v>83962</v>
      </c>
      <c r="I163" s="277">
        <v>268172.2</v>
      </c>
      <c r="J163" s="847">
        <f t="shared" si="7"/>
        <v>319.39710821562136</v>
      </c>
    </row>
    <row r="164" spans="1:10" ht="18.75" customHeight="1" x14ac:dyDescent="0.2">
      <c r="A164" s="952"/>
      <c r="B164" s="953"/>
      <c r="C164" s="954"/>
      <c r="D164" s="592" t="s">
        <v>126</v>
      </c>
      <c r="E164" s="38">
        <v>435</v>
      </c>
      <c r="F164" s="273">
        <v>1305</v>
      </c>
      <c r="G164" s="847">
        <f t="shared" si="8"/>
        <v>300</v>
      </c>
      <c r="H164" s="38">
        <v>472616</v>
      </c>
      <c r="I164" s="277">
        <v>469605.26999999996</v>
      </c>
      <c r="J164" s="847">
        <f t="shared" si="7"/>
        <v>99.362964859420757</v>
      </c>
    </row>
    <row r="165" spans="1:10" ht="18.75" customHeight="1" x14ac:dyDescent="0.2">
      <c r="A165" s="952"/>
      <c r="B165" s="953"/>
      <c r="C165" s="954"/>
      <c r="D165" s="592" t="s">
        <v>109</v>
      </c>
      <c r="E165" s="38">
        <v>202</v>
      </c>
      <c r="F165" s="273">
        <v>606</v>
      </c>
      <c r="G165" s="847">
        <f t="shared" si="8"/>
        <v>300</v>
      </c>
      <c r="H165" s="38">
        <v>0</v>
      </c>
      <c r="I165" s="277">
        <v>0</v>
      </c>
      <c r="J165" s="847"/>
    </row>
    <row r="166" spans="1:10" ht="18.75" customHeight="1" x14ac:dyDescent="0.2">
      <c r="A166" s="952"/>
      <c r="B166" s="953"/>
      <c r="C166" s="954"/>
      <c r="D166" s="592" t="s">
        <v>78</v>
      </c>
      <c r="E166" s="38">
        <v>1824</v>
      </c>
      <c r="F166" s="273">
        <v>5472</v>
      </c>
      <c r="G166" s="847">
        <f t="shared" si="8"/>
        <v>300</v>
      </c>
      <c r="H166" s="24">
        <v>0</v>
      </c>
      <c r="I166" s="318">
        <v>0</v>
      </c>
      <c r="J166" s="847"/>
    </row>
    <row r="167" spans="1:10" ht="18.75" customHeight="1" x14ac:dyDescent="0.2">
      <c r="A167" s="363">
        <v>26</v>
      </c>
      <c r="B167" s="833" t="s">
        <v>447</v>
      </c>
      <c r="C167" s="60" t="s">
        <v>1079</v>
      </c>
      <c r="D167" s="592" t="s">
        <v>109</v>
      </c>
      <c r="E167" s="38">
        <v>367</v>
      </c>
      <c r="F167" s="273">
        <v>1101</v>
      </c>
      <c r="G167" s="847">
        <f t="shared" si="8"/>
        <v>300</v>
      </c>
      <c r="H167" s="38">
        <v>11240</v>
      </c>
      <c r="I167" s="277">
        <v>11240</v>
      </c>
      <c r="J167" s="847">
        <f t="shared" si="7"/>
        <v>100</v>
      </c>
    </row>
    <row r="168" spans="1:10" ht="25.5" customHeight="1" x14ac:dyDescent="0.2">
      <c r="A168" s="363">
        <v>27</v>
      </c>
      <c r="B168" s="833" t="s">
        <v>147</v>
      </c>
      <c r="C168" s="60" t="s">
        <v>1079</v>
      </c>
      <c r="D168" s="592" t="s">
        <v>109</v>
      </c>
      <c r="E168" s="38">
        <v>1469</v>
      </c>
      <c r="F168" s="273">
        <v>4407</v>
      </c>
      <c r="G168" s="847">
        <f t="shared" si="8"/>
        <v>300</v>
      </c>
      <c r="H168" s="38">
        <v>24700</v>
      </c>
      <c r="I168" s="277">
        <v>24700</v>
      </c>
      <c r="J168" s="847">
        <f t="shared" si="7"/>
        <v>100</v>
      </c>
    </row>
    <row r="169" spans="1:10" ht="18.75" customHeight="1" x14ac:dyDescent="0.2">
      <c r="A169" s="363">
        <v>28</v>
      </c>
      <c r="B169" s="833" t="s">
        <v>148</v>
      </c>
      <c r="C169" s="60" t="s">
        <v>1079</v>
      </c>
      <c r="D169" s="592" t="s">
        <v>109</v>
      </c>
      <c r="E169" s="38">
        <v>857</v>
      </c>
      <c r="F169" s="273">
        <v>2571</v>
      </c>
      <c r="G169" s="847">
        <f t="shared" si="8"/>
        <v>300</v>
      </c>
      <c r="H169" s="38">
        <v>18847</v>
      </c>
      <c r="I169" s="277">
        <v>18847</v>
      </c>
      <c r="J169" s="847">
        <f t="shared" si="7"/>
        <v>100</v>
      </c>
    </row>
    <row r="170" spans="1:10" ht="18.75" customHeight="1" x14ac:dyDescent="0.2">
      <c r="A170" s="952">
        <v>29</v>
      </c>
      <c r="B170" s="953" t="s">
        <v>129</v>
      </c>
      <c r="C170" s="954" t="s">
        <v>1079</v>
      </c>
      <c r="D170" s="592"/>
      <c r="E170" s="38">
        <v>0</v>
      </c>
      <c r="F170" s="273">
        <v>0</v>
      </c>
      <c r="G170" s="847"/>
      <c r="H170" s="38">
        <v>136013</v>
      </c>
      <c r="I170" s="277">
        <v>136012.48000000001</v>
      </c>
      <c r="J170" s="847">
        <f t="shared" si="7"/>
        <v>99.999617683603773</v>
      </c>
    </row>
    <row r="171" spans="1:10" ht="24.75" customHeight="1" x14ac:dyDescent="0.2">
      <c r="A171" s="952"/>
      <c r="B171" s="953"/>
      <c r="C171" s="954"/>
      <c r="D171" s="592" t="s">
        <v>85</v>
      </c>
      <c r="E171" s="38">
        <v>56</v>
      </c>
      <c r="F171" s="273">
        <v>168</v>
      </c>
      <c r="G171" s="847">
        <f t="shared" si="8"/>
        <v>299.99999999999994</v>
      </c>
      <c r="H171" s="38">
        <v>291035</v>
      </c>
      <c r="I171" s="277">
        <v>291033.59999999998</v>
      </c>
      <c r="J171" s="847">
        <f t="shared" si="7"/>
        <v>99.999518958200895</v>
      </c>
    </row>
    <row r="172" spans="1:10" ht="18.75" customHeight="1" x14ac:dyDescent="0.2">
      <c r="A172" s="952"/>
      <c r="B172" s="953"/>
      <c r="C172" s="954"/>
      <c r="D172" s="592" t="s">
        <v>103</v>
      </c>
      <c r="E172" s="845">
        <v>0</v>
      </c>
      <c r="F172" s="277">
        <v>0</v>
      </c>
      <c r="G172" s="847"/>
      <c r="H172" s="24">
        <v>0</v>
      </c>
      <c r="I172" s="318">
        <v>0</v>
      </c>
      <c r="J172" s="847"/>
    </row>
    <row r="173" spans="1:10" ht="18.75" customHeight="1" x14ac:dyDescent="0.2">
      <c r="A173" s="952">
        <v>30</v>
      </c>
      <c r="B173" s="953" t="s">
        <v>130</v>
      </c>
      <c r="C173" s="954" t="s">
        <v>1079</v>
      </c>
      <c r="D173" s="592"/>
      <c r="E173" s="38">
        <v>0</v>
      </c>
      <c r="F173" s="277">
        <v>0</v>
      </c>
      <c r="G173" s="847"/>
      <c r="H173" s="38">
        <v>2210466</v>
      </c>
      <c r="I173" s="277">
        <v>2209451.3200000003</v>
      </c>
      <c r="J173" s="847">
        <f t="shared" si="7"/>
        <v>99.954096557015589</v>
      </c>
    </row>
    <row r="174" spans="1:10" ht="18.75" customHeight="1" x14ac:dyDescent="0.2">
      <c r="A174" s="952"/>
      <c r="B174" s="953"/>
      <c r="C174" s="954"/>
      <c r="D174" s="592" t="s">
        <v>85</v>
      </c>
      <c r="E174" s="38">
        <v>93</v>
      </c>
      <c r="F174" s="277">
        <v>279</v>
      </c>
      <c r="G174" s="847">
        <f t="shared" si="8"/>
        <v>300</v>
      </c>
      <c r="H174" s="38">
        <v>3208667</v>
      </c>
      <c r="I174" s="277">
        <v>3208431.62</v>
      </c>
      <c r="J174" s="847">
        <f t="shared" si="7"/>
        <v>99.992664243438171</v>
      </c>
    </row>
    <row r="175" spans="1:10" ht="18.75" customHeight="1" x14ac:dyDescent="0.2">
      <c r="A175" s="952"/>
      <c r="B175" s="953"/>
      <c r="C175" s="954"/>
      <c r="D175" s="592" t="s">
        <v>103</v>
      </c>
      <c r="E175" s="845">
        <v>0</v>
      </c>
      <c r="F175" s="277">
        <v>0</v>
      </c>
      <c r="G175" s="847"/>
      <c r="H175" s="24">
        <v>0</v>
      </c>
      <c r="I175" s="318">
        <v>0</v>
      </c>
      <c r="J175" s="847"/>
    </row>
    <row r="176" spans="1:10" ht="18.75" customHeight="1" x14ac:dyDescent="0.2">
      <c r="A176" s="952">
        <v>31</v>
      </c>
      <c r="B176" s="953" t="s">
        <v>131</v>
      </c>
      <c r="C176" s="954" t="s">
        <v>1079</v>
      </c>
      <c r="D176" s="60" t="s">
        <v>132</v>
      </c>
      <c r="E176" s="38">
        <v>9019</v>
      </c>
      <c r="F176" s="277">
        <v>27057</v>
      </c>
      <c r="G176" s="847">
        <f t="shared" si="8"/>
        <v>300</v>
      </c>
      <c r="H176" s="38">
        <v>18534</v>
      </c>
      <c r="I176" s="277">
        <v>18534</v>
      </c>
      <c r="J176" s="847">
        <f t="shared" ref="J176:J222" si="9">+I176/H176%</f>
        <v>100</v>
      </c>
    </row>
    <row r="177" spans="1:10" ht="18.75" customHeight="1" x14ac:dyDescent="0.2">
      <c r="A177" s="952"/>
      <c r="B177" s="953"/>
      <c r="C177" s="954"/>
      <c r="D177" s="815" t="s">
        <v>2306</v>
      </c>
      <c r="E177" s="38">
        <v>24811</v>
      </c>
      <c r="F177" s="277">
        <v>72395</v>
      </c>
      <c r="G177" s="847">
        <f t="shared" si="8"/>
        <v>291.7859014146951</v>
      </c>
      <c r="H177" s="38">
        <v>24002</v>
      </c>
      <c r="I177" s="277">
        <v>24001.48</v>
      </c>
      <c r="J177" s="847">
        <f t="shared" si="9"/>
        <v>99.997833513873843</v>
      </c>
    </row>
    <row r="178" spans="1:10" ht="18.75" customHeight="1" x14ac:dyDescent="0.2">
      <c r="A178" s="952"/>
      <c r="B178" s="953"/>
      <c r="C178" s="954"/>
      <c r="D178" s="60" t="s">
        <v>85</v>
      </c>
      <c r="E178" s="845">
        <v>190</v>
      </c>
      <c r="F178" s="277">
        <v>570</v>
      </c>
      <c r="G178" s="847">
        <f t="shared" si="8"/>
        <v>300</v>
      </c>
      <c r="H178" s="24">
        <v>0</v>
      </c>
      <c r="I178" s="318">
        <v>0</v>
      </c>
      <c r="J178" s="847"/>
    </row>
    <row r="179" spans="1:10" ht="18.75" customHeight="1" x14ac:dyDescent="0.2">
      <c r="A179" s="992">
        <v>32</v>
      </c>
      <c r="B179" s="946" t="s">
        <v>133</v>
      </c>
      <c r="C179" s="949" t="s">
        <v>1079</v>
      </c>
      <c r="D179" s="60" t="s">
        <v>132</v>
      </c>
      <c r="E179" s="38">
        <v>23109</v>
      </c>
      <c r="F179" s="277">
        <v>69327</v>
      </c>
      <c r="G179" s="847">
        <f t="shared" si="8"/>
        <v>300</v>
      </c>
      <c r="H179" s="38">
        <v>67514</v>
      </c>
      <c r="I179" s="277">
        <v>67514</v>
      </c>
      <c r="J179" s="847">
        <f t="shared" si="9"/>
        <v>100</v>
      </c>
    </row>
    <row r="180" spans="1:10" ht="18.75" customHeight="1" x14ac:dyDescent="0.2">
      <c r="A180" s="993"/>
      <c r="B180" s="947"/>
      <c r="C180" s="950"/>
      <c r="D180" s="815" t="s">
        <v>2306</v>
      </c>
      <c r="E180" s="38">
        <v>60491</v>
      </c>
      <c r="F180" s="277">
        <v>181473</v>
      </c>
      <c r="G180" s="847">
        <f t="shared" si="8"/>
        <v>300</v>
      </c>
      <c r="H180" s="38">
        <v>49825</v>
      </c>
      <c r="I180" s="277">
        <v>49424.55</v>
      </c>
      <c r="J180" s="847">
        <f t="shared" si="9"/>
        <v>99.19628700451581</v>
      </c>
    </row>
    <row r="181" spans="1:10" ht="18.75" customHeight="1" x14ac:dyDescent="0.2">
      <c r="A181" s="994"/>
      <c r="B181" s="948"/>
      <c r="C181" s="951"/>
      <c r="D181" s="60" t="s">
        <v>85</v>
      </c>
      <c r="E181" s="845">
        <v>12814</v>
      </c>
      <c r="F181" s="277">
        <v>38442</v>
      </c>
      <c r="G181" s="847">
        <f t="shared" si="8"/>
        <v>300.00000000000006</v>
      </c>
      <c r="H181" s="845">
        <v>11304</v>
      </c>
      <c r="I181" s="847">
        <v>11304</v>
      </c>
      <c r="J181" s="847">
        <f t="shared" si="9"/>
        <v>100</v>
      </c>
    </row>
    <row r="182" spans="1:10" ht="18.75" customHeight="1" x14ac:dyDescent="0.2">
      <c r="A182" s="952">
        <v>33</v>
      </c>
      <c r="B182" s="953" t="s">
        <v>134</v>
      </c>
      <c r="C182" s="954" t="s">
        <v>1079</v>
      </c>
      <c r="D182" s="60" t="s">
        <v>132</v>
      </c>
      <c r="E182" s="38">
        <v>15037</v>
      </c>
      <c r="F182" s="277">
        <v>45111</v>
      </c>
      <c r="G182" s="847">
        <f t="shared" si="8"/>
        <v>300</v>
      </c>
      <c r="H182" s="38">
        <v>68364</v>
      </c>
      <c r="I182" s="277">
        <v>68366</v>
      </c>
      <c r="J182" s="847">
        <f t="shared" si="9"/>
        <v>100.00292551635364</v>
      </c>
    </row>
    <row r="183" spans="1:10" ht="18.75" customHeight="1" x14ac:dyDescent="0.2">
      <c r="A183" s="952"/>
      <c r="B183" s="953"/>
      <c r="C183" s="954"/>
      <c r="D183" s="815" t="s">
        <v>2306</v>
      </c>
      <c r="E183" s="38">
        <v>41729</v>
      </c>
      <c r="F183" s="277">
        <v>125187</v>
      </c>
      <c r="G183" s="847">
        <f t="shared" si="8"/>
        <v>300</v>
      </c>
      <c r="H183" s="38">
        <v>28905</v>
      </c>
      <c r="I183" s="277">
        <v>28904.239999999998</v>
      </c>
      <c r="J183" s="847">
        <f t="shared" si="9"/>
        <v>99.997370697111222</v>
      </c>
    </row>
    <row r="184" spans="1:10" ht="18.75" customHeight="1" x14ac:dyDescent="0.2">
      <c r="A184" s="952"/>
      <c r="B184" s="953"/>
      <c r="C184" s="954"/>
      <c r="D184" s="60" t="s">
        <v>85</v>
      </c>
      <c r="E184" s="38">
        <v>58</v>
      </c>
      <c r="F184" s="277">
        <v>174</v>
      </c>
      <c r="G184" s="847">
        <f t="shared" si="8"/>
        <v>300</v>
      </c>
      <c r="H184" s="45">
        <v>0</v>
      </c>
      <c r="I184" s="278">
        <v>0</v>
      </c>
      <c r="J184" s="847"/>
    </row>
    <row r="185" spans="1:10" ht="18.75" customHeight="1" x14ac:dyDescent="0.2">
      <c r="A185" s="952">
        <v>34</v>
      </c>
      <c r="B185" s="953" t="s">
        <v>135</v>
      </c>
      <c r="C185" s="954" t="s">
        <v>1079</v>
      </c>
      <c r="D185" s="60"/>
      <c r="E185" s="38">
        <v>0</v>
      </c>
      <c r="F185" s="277">
        <v>0</v>
      </c>
      <c r="G185" s="847"/>
      <c r="H185" s="38">
        <v>22604</v>
      </c>
      <c r="I185" s="277">
        <v>22604</v>
      </c>
      <c r="J185" s="847">
        <f t="shared" si="9"/>
        <v>100</v>
      </c>
    </row>
    <row r="186" spans="1:10" ht="18.75" customHeight="1" x14ac:dyDescent="0.2">
      <c r="A186" s="952"/>
      <c r="B186" s="953"/>
      <c r="C186" s="954"/>
      <c r="D186" s="60" t="s">
        <v>58</v>
      </c>
      <c r="E186" s="38">
        <v>2633</v>
      </c>
      <c r="F186" s="277">
        <v>7899</v>
      </c>
      <c r="G186" s="847">
        <f t="shared" si="8"/>
        <v>300</v>
      </c>
      <c r="H186" s="38">
        <v>30230</v>
      </c>
      <c r="I186" s="277">
        <v>30229.4</v>
      </c>
      <c r="J186" s="847">
        <f t="shared" si="9"/>
        <v>99.998015216672187</v>
      </c>
    </row>
    <row r="187" spans="1:10" ht="18.75" customHeight="1" x14ac:dyDescent="0.2">
      <c r="A187" s="952"/>
      <c r="B187" s="953"/>
      <c r="C187" s="954"/>
      <c r="D187" s="60" t="s">
        <v>85</v>
      </c>
      <c r="E187" s="845">
        <v>98</v>
      </c>
      <c r="F187" s="277">
        <v>294</v>
      </c>
      <c r="G187" s="847">
        <f t="shared" ref="G187:G225" si="10">+F187/E187%</f>
        <v>300</v>
      </c>
      <c r="H187" s="24">
        <v>0</v>
      </c>
      <c r="I187" s="847">
        <v>0</v>
      </c>
      <c r="J187" s="847"/>
    </row>
    <row r="188" spans="1:10" ht="18.75" customHeight="1" x14ac:dyDescent="0.2">
      <c r="A188" s="952">
        <v>35</v>
      </c>
      <c r="B188" s="953" t="s">
        <v>136</v>
      </c>
      <c r="C188" s="954" t="s">
        <v>1079</v>
      </c>
      <c r="D188" s="60"/>
      <c r="E188" s="38">
        <v>0</v>
      </c>
      <c r="F188" s="277">
        <v>0</v>
      </c>
      <c r="G188" s="847"/>
      <c r="H188" s="38">
        <v>91257</v>
      </c>
      <c r="I188" s="277">
        <v>91257</v>
      </c>
      <c r="J188" s="847">
        <f t="shared" si="9"/>
        <v>100</v>
      </c>
    </row>
    <row r="189" spans="1:10" ht="18.75" customHeight="1" x14ac:dyDescent="0.2">
      <c r="A189" s="952"/>
      <c r="B189" s="953"/>
      <c r="C189" s="954"/>
      <c r="D189" s="60" t="s">
        <v>58</v>
      </c>
      <c r="E189" s="38">
        <v>7221</v>
      </c>
      <c r="F189" s="277">
        <v>21663</v>
      </c>
      <c r="G189" s="847">
        <f t="shared" si="10"/>
        <v>300</v>
      </c>
      <c r="H189" s="38">
        <v>95806</v>
      </c>
      <c r="I189" s="277">
        <v>95805.07</v>
      </c>
      <c r="J189" s="847">
        <f t="shared" si="9"/>
        <v>99.999029288353555</v>
      </c>
    </row>
    <row r="190" spans="1:10" ht="18.75" customHeight="1" x14ac:dyDescent="0.2">
      <c r="A190" s="952"/>
      <c r="B190" s="953"/>
      <c r="C190" s="954"/>
      <c r="D190" s="60" t="s">
        <v>85</v>
      </c>
      <c r="E190" s="38">
        <v>183</v>
      </c>
      <c r="F190" s="277">
        <v>549</v>
      </c>
      <c r="G190" s="847">
        <f t="shared" si="10"/>
        <v>300</v>
      </c>
      <c r="H190" s="38">
        <v>0</v>
      </c>
      <c r="I190" s="277">
        <v>0</v>
      </c>
      <c r="J190" s="847"/>
    </row>
    <row r="191" spans="1:10" ht="18.75" customHeight="1" x14ac:dyDescent="0.2">
      <c r="A191" s="952">
        <v>36</v>
      </c>
      <c r="B191" s="953" t="s">
        <v>137</v>
      </c>
      <c r="C191" s="954" t="s">
        <v>1079</v>
      </c>
      <c r="D191" s="60"/>
      <c r="E191" s="845">
        <v>0</v>
      </c>
      <c r="F191" s="277">
        <v>0</v>
      </c>
      <c r="G191" s="847"/>
      <c r="H191" s="845">
        <v>418936</v>
      </c>
      <c r="I191" s="847">
        <v>418826.81</v>
      </c>
      <c r="J191" s="847">
        <f t="shared" si="9"/>
        <v>99.973936353046767</v>
      </c>
    </row>
    <row r="192" spans="1:10" ht="18.75" customHeight="1" x14ac:dyDescent="0.2">
      <c r="A192" s="952"/>
      <c r="B192" s="953"/>
      <c r="C192" s="954"/>
      <c r="D192" s="60" t="s">
        <v>132</v>
      </c>
      <c r="E192" s="38">
        <v>0</v>
      </c>
      <c r="F192" s="277">
        <v>0</v>
      </c>
      <c r="G192" s="847"/>
      <c r="H192" s="38">
        <v>0</v>
      </c>
      <c r="I192" s="277">
        <v>0</v>
      </c>
      <c r="J192" s="847"/>
    </row>
    <row r="193" spans="1:10" ht="18.75" customHeight="1" x14ac:dyDescent="0.2">
      <c r="A193" s="952"/>
      <c r="B193" s="953"/>
      <c r="C193" s="954"/>
      <c r="D193" s="815" t="s">
        <v>58</v>
      </c>
      <c r="E193" s="38">
        <v>2647</v>
      </c>
      <c r="F193" s="277">
        <v>7941</v>
      </c>
      <c r="G193" s="847">
        <f t="shared" si="10"/>
        <v>300</v>
      </c>
      <c r="H193" s="38">
        <v>681196</v>
      </c>
      <c r="I193" s="277">
        <v>660703.06000000006</v>
      </c>
      <c r="J193" s="847">
        <f t="shared" si="9"/>
        <v>96.991623556215842</v>
      </c>
    </row>
    <row r="194" spans="1:10" ht="18.75" customHeight="1" x14ac:dyDescent="0.2">
      <c r="A194" s="952"/>
      <c r="B194" s="953"/>
      <c r="C194" s="954"/>
      <c r="D194" s="60" t="s">
        <v>85</v>
      </c>
      <c r="E194" s="38">
        <v>98</v>
      </c>
      <c r="F194" s="277">
        <v>294</v>
      </c>
      <c r="G194" s="847">
        <f t="shared" si="10"/>
        <v>300</v>
      </c>
      <c r="H194" s="38">
        <v>0</v>
      </c>
      <c r="I194" s="277">
        <v>0</v>
      </c>
      <c r="J194" s="847"/>
    </row>
    <row r="195" spans="1:10" ht="15.75" customHeight="1" x14ac:dyDescent="0.2">
      <c r="A195" s="952">
        <v>37</v>
      </c>
      <c r="B195" s="953" t="s">
        <v>138</v>
      </c>
      <c r="C195" s="954" t="s">
        <v>1079</v>
      </c>
      <c r="D195" s="60"/>
      <c r="E195" s="38">
        <v>0</v>
      </c>
      <c r="F195" s="277">
        <v>0</v>
      </c>
      <c r="G195" s="847"/>
      <c r="H195" s="845">
        <v>611385</v>
      </c>
      <c r="I195" s="847">
        <v>611382.46000000008</v>
      </c>
      <c r="J195" s="847">
        <f t="shared" si="9"/>
        <v>99.999584549833585</v>
      </c>
    </row>
    <row r="196" spans="1:10" ht="18.75" customHeight="1" x14ac:dyDescent="0.2">
      <c r="A196" s="952"/>
      <c r="B196" s="953"/>
      <c r="C196" s="954"/>
      <c r="D196" s="60" t="s">
        <v>132</v>
      </c>
      <c r="E196" s="845">
        <v>0</v>
      </c>
      <c r="F196" s="277">
        <v>0</v>
      </c>
      <c r="G196" s="847"/>
      <c r="H196" s="24">
        <v>0</v>
      </c>
      <c r="I196" s="318">
        <v>0</v>
      </c>
      <c r="J196" s="847"/>
    </row>
    <row r="197" spans="1:10" ht="18.75" customHeight="1" x14ac:dyDescent="0.2">
      <c r="A197" s="952"/>
      <c r="B197" s="953"/>
      <c r="C197" s="954"/>
      <c r="D197" s="815" t="s">
        <v>58</v>
      </c>
      <c r="E197" s="38">
        <v>6068</v>
      </c>
      <c r="F197" s="277">
        <v>18204</v>
      </c>
      <c r="G197" s="847">
        <f t="shared" si="10"/>
        <v>300</v>
      </c>
      <c r="H197" s="38">
        <v>825207</v>
      </c>
      <c r="I197" s="277">
        <v>814643.67999999993</v>
      </c>
      <c r="J197" s="847">
        <f t="shared" si="9"/>
        <v>98.71991875977784</v>
      </c>
    </row>
    <row r="198" spans="1:10" ht="18.75" customHeight="1" x14ac:dyDescent="0.2">
      <c r="A198" s="952"/>
      <c r="B198" s="953"/>
      <c r="C198" s="954"/>
      <c r="D198" s="60" t="s">
        <v>85</v>
      </c>
      <c r="E198" s="38">
        <v>183</v>
      </c>
      <c r="F198" s="277">
        <v>549</v>
      </c>
      <c r="G198" s="847">
        <f t="shared" si="10"/>
        <v>300</v>
      </c>
      <c r="H198" s="38">
        <v>0</v>
      </c>
      <c r="I198" s="277">
        <v>0</v>
      </c>
      <c r="J198" s="847"/>
    </row>
    <row r="199" spans="1:10" ht="27" customHeight="1" x14ac:dyDescent="0.2">
      <c r="A199" s="363">
        <v>38</v>
      </c>
      <c r="B199" s="833" t="s">
        <v>139</v>
      </c>
      <c r="C199" s="60" t="s">
        <v>1079</v>
      </c>
      <c r="D199" s="60" t="s">
        <v>85</v>
      </c>
      <c r="E199" s="38">
        <v>136</v>
      </c>
      <c r="F199" s="277">
        <v>408</v>
      </c>
      <c r="G199" s="847">
        <f t="shared" si="10"/>
        <v>300</v>
      </c>
      <c r="H199" s="38">
        <v>5772</v>
      </c>
      <c r="I199" s="277">
        <v>5772</v>
      </c>
      <c r="J199" s="847">
        <f t="shared" si="9"/>
        <v>100</v>
      </c>
    </row>
    <row r="200" spans="1:10" ht="26.25" customHeight="1" x14ac:dyDescent="0.2">
      <c r="A200" s="952">
        <v>39</v>
      </c>
      <c r="B200" s="953" t="s">
        <v>140</v>
      </c>
      <c r="C200" s="954" t="s">
        <v>1079</v>
      </c>
      <c r="D200" s="60"/>
      <c r="E200" s="38">
        <v>0</v>
      </c>
      <c r="F200" s="277">
        <v>0</v>
      </c>
      <c r="G200" s="847"/>
      <c r="H200" s="38">
        <v>14699</v>
      </c>
      <c r="I200" s="277">
        <v>19699</v>
      </c>
      <c r="J200" s="847">
        <f t="shared" si="9"/>
        <v>134.01591945030273</v>
      </c>
    </row>
    <row r="201" spans="1:10" ht="25.5" customHeight="1" x14ac:dyDescent="0.2">
      <c r="A201" s="952"/>
      <c r="B201" s="953"/>
      <c r="C201" s="954"/>
      <c r="D201" s="60" t="s">
        <v>85</v>
      </c>
      <c r="E201" s="38">
        <v>391</v>
      </c>
      <c r="F201" s="277">
        <v>1173</v>
      </c>
      <c r="G201" s="847">
        <f t="shared" si="10"/>
        <v>300</v>
      </c>
      <c r="H201" s="38">
        <v>37232</v>
      </c>
      <c r="I201" s="277">
        <v>37225.119999999995</v>
      </c>
      <c r="J201" s="847">
        <f t="shared" si="9"/>
        <v>99.981521272024054</v>
      </c>
    </row>
    <row r="202" spans="1:10" ht="25.5" customHeight="1" x14ac:dyDescent="0.2">
      <c r="A202" s="952"/>
      <c r="B202" s="953"/>
      <c r="C202" s="954"/>
      <c r="D202" s="60" t="s">
        <v>58</v>
      </c>
      <c r="E202" s="38">
        <v>335</v>
      </c>
      <c r="F202" s="277">
        <v>1005</v>
      </c>
      <c r="G202" s="847">
        <f t="shared" si="10"/>
        <v>300</v>
      </c>
      <c r="H202" s="38">
        <v>0</v>
      </c>
      <c r="I202" s="277">
        <v>0</v>
      </c>
      <c r="J202" s="847"/>
    </row>
    <row r="203" spans="1:10" ht="32.25" customHeight="1" x14ac:dyDescent="0.2">
      <c r="A203" s="363">
        <v>40</v>
      </c>
      <c r="B203" s="833" t="s">
        <v>448</v>
      </c>
      <c r="C203" s="60" t="s">
        <v>1079</v>
      </c>
      <c r="D203" s="60" t="s">
        <v>141</v>
      </c>
      <c r="E203" s="38">
        <v>4</v>
      </c>
      <c r="F203" s="277">
        <v>12</v>
      </c>
      <c r="G203" s="847">
        <f t="shared" si="10"/>
        <v>300</v>
      </c>
      <c r="H203" s="38">
        <v>17482</v>
      </c>
      <c r="I203" s="277">
        <v>17477.559999999998</v>
      </c>
      <c r="J203" s="847">
        <f t="shared" si="9"/>
        <v>99.97460244823246</v>
      </c>
    </row>
    <row r="204" spans="1:10" ht="30" customHeight="1" x14ac:dyDescent="0.2">
      <c r="A204" s="363">
        <v>41</v>
      </c>
      <c r="B204" s="833" t="s">
        <v>449</v>
      </c>
      <c r="C204" s="60" t="s">
        <v>1079</v>
      </c>
      <c r="D204" s="60" t="s">
        <v>141</v>
      </c>
      <c r="E204" s="38">
        <v>1</v>
      </c>
      <c r="F204" s="273">
        <v>3</v>
      </c>
      <c r="G204" s="847">
        <f t="shared" si="10"/>
        <v>300</v>
      </c>
      <c r="H204" s="38">
        <v>2375</v>
      </c>
      <c r="I204" s="277">
        <v>2375</v>
      </c>
      <c r="J204" s="847">
        <f t="shared" si="9"/>
        <v>100</v>
      </c>
    </row>
    <row r="205" spans="1:10" ht="30.75" customHeight="1" x14ac:dyDescent="0.2">
      <c r="A205" s="363">
        <v>0</v>
      </c>
      <c r="B205" s="833" t="s">
        <v>143</v>
      </c>
      <c r="C205" s="60" t="s">
        <v>1079</v>
      </c>
      <c r="D205" s="60" t="s">
        <v>47</v>
      </c>
      <c r="E205" s="38">
        <v>141</v>
      </c>
      <c r="F205" s="273">
        <v>423</v>
      </c>
      <c r="G205" s="847">
        <f t="shared" si="10"/>
        <v>300</v>
      </c>
      <c r="H205" s="38">
        <v>972259</v>
      </c>
      <c r="I205" s="277">
        <v>972258.47</v>
      </c>
      <c r="J205" s="847">
        <f t="shared" si="9"/>
        <v>99.999945487776401</v>
      </c>
    </row>
    <row r="206" spans="1:10" ht="32.25" customHeight="1" x14ac:dyDescent="0.2">
      <c r="A206" s="184">
        <v>43</v>
      </c>
      <c r="B206" s="29" t="s">
        <v>142</v>
      </c>
      <c r="C206" s="60" t="s">
        <v>1079</v>
      </c>
      <c r="D206" s="60" t="s">
        <v>126</v>
      </c>
      <c r="E206" s="38">
        <v>0</v>
      </c>
      <c r="F206" s="273">
        <v>0</v>
      </c>
      <c r="G206" s="847"/>
      <c r="H206" s="38">
        <v>0</v>
      </c>
      <c r="I206" s="277">
        <v>0</v>
      </c>
      <c r="J206" s="847"/>
    </row>
    <row r="207" spans="1:10" ht="18.75" customHeight="1" x14ac:dyDescent="0.2">
      <c r="A207" s="952">
        <v>44</v>
      </c>
      <c r="B207" s="953" t="s">
        <v>143</v>
      </c>
      <c r="C207" s="954" t="s">
        <v>1079</v>
      </c>
      <c r="D207" s="834"/>
      <c r="E207" s="38">
        <v>0</v>
      </c>
      <c r="F207" s="273">
        <v>0</v>
      </c>
      <c r="G207" s="847"/>
      <c r="H207" s="38">
        <v>1230918</v>
      </c>
      <c r="I207" s="277">
        <v>1230918</v>
      </c>
      <c r="J207" s="847">
        <f t="shared" si="9"/>
        <v>100</v>
      </c>
    </row>
    <row r="208" spans="1:10" ht="25.5" customHeight="1" x14ac:dyDescent="0.2">
      <c r="A208" s="952"/>
      <c r="B208" s="953"/>
      <c r="C208" s="954"/>
      <c r="D208" s="592" t="s">
        <v>85</v>
      </c>
      <c r="E208" s="45">
        <v>0</v>
      </c>
      <c r="F208" s="277">
        <v>0</v>
      </c>
      <c r="G208" s="847"/>
      <c r="H208" s="45">
        <v>0</v>
      </c>
      <c r="I208" s="278">
        <v>0</v>
      </c>
      <c r="J208" s="847"/>
    </row>
    <row r="209" spans="1:10" ht="18.75" customHeight="1" x14ac:dyDescent="0.2">
      <c r="A209" s="952"/>
      <c r="B209" s="953"/>
      <c r="C209" s="954"/>
      <c r="D209" s="592" t="s">
        <v>109</v>
      </c>
      <c r="E209" s="38">
        <v>0</v>
      </c>
      <c r="F209" s="277">
        <v>0</v>
      </c>
      <c r="G209" s="847"/>
      <c r="H209" s="45">
        <v>0</v>
      </c>
      <c r="I209" s="278">
        <v>0</v>
      </c>
      <c r="J209" s="847"/>
    </row>
    <row r="210" spans="1:10" ht="18.75" customHeight="1" x14ac:dyDescent="0.2">
      <c r="A210" s="952"/>
      <c r="B210" s="953"/>
      <c r="C210" s="954"/>
      <c r="D210" s="592" t="s">
        <v>78</v>
      </c>
      <c r="E210" s="38">
        <v>0</v>
      </c>
      <c r="F210" s="277">
        <v>0</v>
      </c>
      <c r="G210" s="847"/>
      <c r="H210" s="38">
        <v>0</v>
      </c>
      <c r="I210" s="277">
        <v>0</v>
      </c>
      <c r="J210" s="847"/>
    </row>
    <row r="211" spans="1:10" ht="18.75" customHeight="1" x14ac:dyDescent="0.2">
      <c r="A211" s="952"/>
      <c r="B211" s="953"/>
      <c r="C211" s="954"/>
      <c r="D211" s="592" t="s">
        <v>107</v>
      </c>
      <c r="E211" s="38">
        <v>0</v>
      </c>
      <c r="F211" s="277">
        <v>0</v>
      </c>
      <c r="G211" s="847"/>
      <c r="H211" s="38">
        <v>0</v>
      </c>
      <c r="I211" s="277">
        <v>0</v>
      </c>
      <c r="J211" s="847"/>
    </row>
    <row r="212" spans="1:10" ht="28.5" customHeight="1" x14ac:dyDescent="0.2">
      <c r="A212" s="184">
        <v>45</v>
      </c>
      <c r="B212" s="29" t="s">
        <v>144</v>
      </c>
      <c r="C212" s="60" t="s">
        <v>1079</v>
      </c>
      <c r="D212" s="60" t="s">
        <v>126</v>
      </c>
      <c r="E212" s="38">
        <v>1</v>
      </c>
      <c r="F212" s="277">
        <v>3</v>
      </c>
      <c r="G212" s="847">
        <f t="shared" si="10"/>
        <v>300</v>
      </c>
      <c r="H212" s="38">
        <v>975</v>
      </c>
      <c r="I212" s="277">
        <v>975</v>
      </c>
      <c r="J212" s="847">
        <f t="shared" si="9"/>
        <v>100</v>
      </c>
    </row>
    <row r="213" spans="1:10" ht="18.75" customHeight="1" x14ac:dyDescent="0.2">
      <c r="A213" s="952">
        <v>45</v>
      </c>
      <c r="B213" s="953" t="s">
        <v>145</v>
      </c>
      <c r="C213" s="954" t="s">
        <v>1079</v>
      </c>
      <c r="D213" s="60"/>
      <c r="E213" s="38">
        <v>0</v>
      </c>
      <c r="F213" s="277">
        <v>0</v>
      </c>
      <c r="G213" s="847"/>
      <c r="H213" s="38">
        <v>13470</v>
      </c>
      <c r="I213" s="277">
        <v>13470</v>
      </c>
      <c r="J213" s="847">
        <f t="shared" si="9"/>
        <v>100.00000000000001</v>
      </c>
    </row>
    <row r="214" spans="1:10" ht="18.75" customHeight="1" x14ac:dyDescent="0.2">
      <c r="A214" s="952"/>
      <c r="B214" s="953"/>
      <c r="C214" s="954"/>
      <c r="D214" s="60" t="s">
        <v>85</v>
      </c>
      <c r="E214" s="38">
        <v>0</v>
      </c>
      <c r="F214" s="273">
        <v>0</v>
      </c>
      <c r="G214" s="847"/>
      <c r="H214" s="38">
        <v>0</v>
      </c>
      <c r="I214" s="277">
        <v>0</v>
      </c>
      <c r="J214" s="847"/>
    </row>
    <row r="215" spans="1:10" ht="18.75" customHeight="1" x14ac:dyDescent="0.2">
      <c r="A215" s="952"/>
      <c r="B215" s="953"/>
      <c r="C215" s="954"/>
      <c r="D215" s="60" t="s">
        <v>106</v>
      </c>
      <c r="E215" s="38">
        <v>35</v>
      </c>
      <c r="F215" s="273">
        <v>105</v>
      </c>
      <c r="G215" s="847">
        <f t="shared" si="10"/>
        <v>300</v>
      </c>
      <c r="H215" s="38">
        <v>58852</v>
      </c>
      <c r="I215" s="277">
        <v>58852</v>
      </c>
      <c r="J215" s="847">
        <f t="shared" si="9"/>
        <v>100</v>
      </c>
    </row>
    <row r="216" spans="1:10" ht="18.75" customHeight="1" x14ac:dyDescent="0.2">
      <c r="A216" s="952"/>
      <c r="B216" s="953"/>
      <c r="C216" s="954"/>
      <c r="D216" s="60" t="s">
        <v>78</v>
      </c>
      <c r="E216" s="38">
        <v>100</v>
      </c>
      <c r="F216" s="273">
        <v>200</v>
      </c>
      <c r="G216" s="847">
        <f t="shared" si="10"/>
        <v>200</v>
      </c>
      <c r="H216" s="38">
        <v>160186</v>
      </c>
      <c r="I216" s="277">
        <v>160186</v>
      </c>
      <c r="J216" s="847">
        <f t="shared" si="9"/>
        <v>100</v>
      </c>
    </row>
    <row r="217" spans="1:10" ht="18.75" customHeight="1" x14ac:dyDescent="0.2">
      <c r="A217" s="952"/>
      <c r="B217" s="953"/>
      <c r="C217" s="954"/>
      <c r="D217" s="60" t="s">
        <v>107</v>
      </c>
      <c r="E217" s="38">
        <v>0</v>
      </c>
      <c r="F217" s="273">
        <v>0</v>
      </c>
      <c r="G217" s="847"/>
      <c r="H217" s="38">
        <v>0</v>
      </c>
      <c r="I217" s="277">
        <v>0</v>
      </c>
      <c r="J217" s="847"/>
    </row>
    <row r="218" spans="1:10" ht="18.75" customHeight="1" x14ac:dyDescent="0.2">
      <c r="A218" s="363">
        <v>47</v>
      </c>
      <c r="B218" s="833" t="s">
        <v>146</v>
      </c>
      <c r="C218" s="60" t="s">
        <v>1079</v>
      </c>
      <c r="D218" s="592" t="s">
        <v>109</v>
      </c>
      <c r="E218" s="38">
        <v>0</v>
      </c>
      <c r="F218" s="273">
        <v>0</v>
      </c>
      <c r="G218" s="847"/>
      <c r="H218" s="38">
        <v>0</v>
      </c>
      <c r="I218" s="277">
        <v>0</v>
      </c>
      <c r="J218" s="847"/>
    </row>
    <row r="219" spans="1:10" ht="18.75" customHeight="1" x14ac:dyDescent="0.2">
      <c r="A219" s="363">
        <v>48</v>
      </c>
      <c r="B219" s="833" t="s">
        <v>147</v>
      </c>
      <c r="C219" s="60" t="s">
        <v>1079</v>
      </c>
      <c r="D219" s="592" t="s">
        <v>109</v>
      </c>
      <c r="E219" s="38">
        <v>0</v>
      </c>
      <c r="F219" s="273">
        <v>0</v>
      </c>
      <c r="G219" s="847"/>
      <c r="H219" s="38">
        <v>6301</v>
      </c>
      <c r="I219" s="277">
        <v>6295</v>
      </c>
      <c r="J219" s="847">
        <f t="shared" si="9"/>
        <v>99.904777019520708</v>
      </c>
    </row>
    <row r="220" spans="1:10" ht="18.75" customHeight="1" x14ac:dyDescent="0.2">
      <c r="A220" s="363">
        <v>48</v>
      </c>
      <c r="B220" s="48" t="s">
        <v>148</v>
      </c>
      <c r="C220" s="60" t="s">
        <v>1079</v>
      </c>
      <c r="D220" s="592" t="s">
        <v>109</v>
      </c>
      <c r="E220" s="38">
        <v>0</v>
      </c>
      <c r="F220" s="273">
        <v>0</v>
      </c>
      <c r="G220" s="847"/>
      <c r="H220" s="38">
        <v>7143</v>
      </c>
      <c r="I220" s="277">
        <v>7142.6</v>
      </c>
      <c r="J220" s="847">
        <f t="shared" si="9"/>
        <v>99.994400111997749</v>
      </c>
    </row>
    <row r="221" spans="1:10" ht="18.75" customHeight="1" x14ac:dyDescent="0.2">
      <c r="A221" s="952">
        <v>50</v>
      </c>
      <c r="B221" s="953" t="s">
        <v>149</v>
      </c>
      <c r="C221" s="954" t="s">
        <v>1079</v>
      </c>
      <c r="D221" s="60"/>
      <c r="E221" s="38">
        <v>0</v>
      </c>
      <c r="F221" s="273">
        <v>0</v>
      </c>
      <c r="G221" s="847"/>
      <c r="H221" s="38">
        <v>352462</v>
      </c>
      <c r="I221" s="277">
        <v>352462</v>
      </c>
      <c r="J221" s="847">
        <f t="shared" si="9"/>
        <v>100</v>
      </c>
    </row>
    <row r="222" spans="1:10" ht="18.75" customHeight="1" x14ac:dyDescent="0.2">
      <c r="A222" s="952"/>
      <c r="B222" s="953"/>
      <c r="C222" s="954"/>
      <c r="D222" s="60" t="s">
        <v>85</v>
      </c>
      <c r="E222" s="38">
        <v>1</v>
      </c>
      <c r="F222" s="273">
        <v>3</v>
      </c>
      <c r="G222" s="847">
        <f t="shared" si="10"/>
        <v>300</v>
      </c>
      <c r="H222" s="38">
        <v>66907</v>
      </c>
      <c r="I222" s="277">
        <v>66907</v>
      </c>
      <c r="J222" s="847">
        <f t="shared" si="9"/>
        <v>99.999999999999986</v>
      </c>
    </row>
    <row r="223" spans="1:10" ht="18.75" customHeight="1" x14ac:dyDescent="0.2">
      <c r="A223" s="952"/>
      <c r="B223" s="953"/>
      <c r="C223" s="954"/>
      <c r="D223" s="60" t="s">
        <v>106</v>
      </c>
      <c r="E223" s="38">
        <v>3</v>
      </c>
      <c r="F223" s="273">
        <v>9</v>
      </c>
      <c r="G223" s="847">
        <f t="shared" si="10"/>
        <v>300</v>
      </c>
      <c r="H223" s="38">
        <v>0</v>
      </c>
      <c r="I223" s="277">
        <v>0</v>
      </c>
      <c r="J223" s="847"/>
    </row>
    <row r="224" spans="1:10" ht="18.75" customHeight="1" x14ac:dyDescent="0.2">
      <c r="A224" s="952"/>
      <c r="B224" s="953"/>
      <c r="C224" s="954"/>
      <c r="D224" s="60" t="s">
        <v>78</v>
      </c>
      <c r="E224" s="38">
        <v>13</v>
      </c>
      <c r="F224" s="273">
        <v>39</v>
      </c>
      <c r="G224" s="847">
        <f t="shared" si="10"/>
        <v>300</v>
      </c>
      <c r="H224" s="38">
        <v>0</v>
      </c>
      <c r="I224" s="277">
        <v>0</v>
      </c>
      <c r="J224" s="847"/>
    </row>
    <row r="225" spans="1:10" ht="18.75" customHeight="1" x14ac:dyDescent="0.2">
      <c r="A225" s="952"/>
      <c r="B225" s="953"/>
      <c r="C225" s="954"/>
      <c r="D225" s="60" t="s">
        <v>107</v>
      </c>
      <c r="E225" s="38">
        <v>5</v>
      </c>
      <c r="F225" s="273">
        <v>15</v>
      </c>
      <c r="G225" s="847">
        <f t="shared" si="10"/>
        <v>300</v>
      </c>
      <c r="H225" s="38">
        <v>0</v>
      </c>
      <c r="I225" s="277">
        <v>0</v>
      </c>
      <c r="J225" s="847"/>
    </row>
    <row r="226" spans="1:10" ht="18.75" customHeight="1" x14ac:dyDescent="0.2">
      <c r="A226" s="482"/>
      <c r="B226" s="35" t="s">
        <v>150</v>
      </c>
      <c r="C226" s="503"/>
      <c r="D226" s="503"/>
      <c r="E226" s="64"/>
      <c r="F226" s="748"/>
      <c r="G226" s="506"/>
      <c r="H226" s="41">
        <f>+H227+H228+H229+H230+H231+H232+H236</f>
        <v>267571</v>
      </c>
      <c r="I226" s="306">
        <f>+I227+I228+I229+I230+I231+I232+I236</f>
        <v>206180</v>
      </c>
      <c r="J226" s="306">
        <f>+I226/H226*100</f>
        <v>77.056183218659726</v>
      </c>
    </row>
    <row r="227" spans="1:10" ht="18.75" customHeight="1" x14ac:dyDescent="0.2">
      <c r="A227" s="816">
        <v>1</v>
      </c>
      <c r="B227" s="817" t="s">
        <v>151</v>
      </c>
      <c r="C227" s="815" t="s">
        <v>46</v>
      </c>
      <c r="D227" s="815" t="s">
        <v>152</v>
      </c>
      <c r="E227" s="38">
        <v>360</v>
      </c>
      <c r="F227" s="277">
        <v>343</v>
      </c>
      <c r="G227" s="304">
        <f>+F227/E227*100</f>
        <v>95.277777777777771</v>
      </c>
      <c r="H227" s="38">
        <v>24322</v>
      </c>
      <c r="I227" s="277">
        <f>18790-50</f>
        <v>18740</v>
      </c>
      <c r="J227" s="277">
        <f>+I227/H227*100</f>
        <v>77.049584738097195</v>
      </c>
    </row>
    <row r="228" spans="1:10" ht="18.75" customHeight="1" x14ac:dyDescent="0.2">
      <c r="A228" s="816">
        <v>2</v>
      </c>
      <c r="B228" s="817" t="s">
        <v>153</v>
      </c>
      <c r="C228" s="815" t="s">
        <v>46</v>
      </c>
      <c r="D228" s="815" t="s">
        <v>154</v>
      </c>
      <c r="E228" s="38">
        <v>2</v>
      </c>
      <c r="F228" s="277">
        <v>2</v>
      </c>
      <c r="G228" s="304">
        <f t="shared" ref="G228:G247" si="11">+F228/E228*100</f>
        <v>100</v>
      </c>
      <c r="H228" s="38">
        <v>24325</v>
      </c>
      <c r="I228" s="277">
        <f>18790-50</f>
        <v>18740</v>
      </c>
      <c r="J228" s="277">
        <f t="shared" ref="J228:J239" si="12">+I228/H228*100</f>
        <v>77.040082219938327</v>
      </c>
    </row>
    <row r="229" spans="1:10" ht="18.75" customHeight="1" x14ac:dyDescent="0.2">
      <c r="A229" s="816">
        <v>3</v>
      </c>
      <c r="B229" s="817" t="s">
        <v>155</v>
      </c>
      <c r="C229" s="815" t="s">
        <v>46</v>
      </c>
      <c r="D229" s="815" t="s">
        <v>154</v>
      </c>
      <c r="E229" s="38">
        <v>2</v>
      </c>
      <c r="F229" s="277">
        <v>2</v>
      </c>
      <c r="G229" s="304">
        <f t="shared" si="11"/>
        <v>100</v>
      </c>
      <c r="H229" s="38">
        <v>24322</v>
      </c>
      <c r="I229" s="277">
        <f>18790-50</f>
        <v>18740</v>
      </c>
      <c r="J229" s="277">
        <f t="shared" si="12"/>
        <v>77.049584738097195</v>
      </c>
    </row>
    <row r="230" spans="1:10" ht="18.75" customHeight="1" x14ac:dyDescent="0.2">
      <c r="A230" s="816">
        <v>4</v>
      </c>
      <c r="B230" s="817" t="s">
        <v>156</v>
      </c>
      <c r="C230" s="815" t="s">
        <v>46</v>
      </c>
      <c r="D230" s="815" t="s">
        <v>47</v>
      </c>
      <c r="E230" s="38">
        <v>2</v>
      </c>
      <c r="F230" s="277">
        <v>2</v>
      </c>
      <c r="G230" s="304">
        <f t="shared" si="11"/>
        <v>100</v>
      </c>
      <c r="H230" s="38">
        <v>24325</v>
      </c>
      <c r="I230" s="277">
        <f t="shared" ref="I230:I239" si="13">18790-45</f>
        <v>18745</v>
      </c>
      <c r="J230" s="277">
        <f t="shared" si="12"/>
        <v>77.060637204522095</v>
      </c>
    </row>
    <row r="231" spans="1:10" ht="18.75" customHeight="1" x14ac:dyDescent="0.2">
      <c r="A231" s="816">
        <v>5</v>
      </c>
      <c r="B231" s="817" t="s">
        <v>157</v>
      </c>
      <c r="C231" s="815" t="s">
        <v>46</v>
      </c>
      <c r="D231" s="815" t="s">
        <v>158</v>
      </c>
      <c r="E231" s="38">
        <v>1</v>
      </c>
      <c r="F231" s="277">
        <v>1</v>
      </c>
      <c r="G231" s="304">
        <f t="shared" si="11"/>
        <v>100</v>
      </c>
      <c r="H231" s="38">
        <v>24327</v>
      </c>
      <c r="I231" s="277">
        <f t="shared" si="13"/>
        <v>18745</v>
      </c>
      <c r="J231" s="277">
        <f t="shared" si="12"/>
        <v>77.054301804579268</v>
      </c>
    </row>
    <row r="232" spans="1:10" ht="18.75" customHeight="1" x14ac:dyDescent="0.2">
      <c r="A232" s="816">
        <v>6</v>
      </c>
      <c r="B232" s="822" t="s">
        <v>159</v>
      </c>
      <c r="C232" s="821"/>
      <c r="D232" s="821"/>
      <c r="E232" s="37"/>
      <c r="F232" s="273"/>
      <c r="G232" s="349"/>
      <c r="H232" s="39">
        <f>SUM(H233:H235)</f>
        <v>72975</v>
      </c>
      <c r="I232" s="313">
        <f>SUM(I233:I235)</f>
        <v>56235</v>
      </c>
      <c r="J232" s="278">
        <f t="shared" si="12"/>
        <v>77.060637204522095</v>
      </c>
    </row>
    <row r="233" spans="1:10" ht="18.75" customHeight="1" x14ac:dyDescent="0.2">
      <c r="A233" s="818">
        <v>6.1</v>
      </c>
      <c r="B233" s="817" t="s">
        <v>160</v>
      </c>
      <c r="C233" s="815" t="s">
        <v>46</v>
      </c>
      <c r="D233" s="821" t="s">
        <v>161</v>
      </c>
      <c r="E233" s="38">
        <v>2</v>
      </c>
      <c r="F233" s="273">
        <v>2</v>
      </c>
      <c r="G233" s="304">
        <f t="shared" si="11"/>
        <v>100</v>
      </c>
      <c r="H233" s="38">
        <v>24325</v>
      </c>
      <c r="I233" s="277">
        <f t="shared" si="13"/>
        <v>18745</v>
      </c>
      <c r="J233" s="277">
        <f t="shared" si="12"/>
        <v>77.060637204522095</v>
      </c>
    </row>
    <row r="234" spans="1:10" ht="18.75" customHeight="1" x14ac:dyDescent="0.2">
      <c r="A234" s="818">
        <v>6.2</v>
      </c>
      <c r="B234" s="817" t="s">
        <v>162</v>
      </c>
      <c r="C234" s="815" t="s">
        <v>46</v>
      </c>
      <c r="D234" s="821" t="s">
        <v>161</v>
      </c>
      <c r="E234" s="38">
        <v>1200</v>
      </c>
      <c r="F234" s="273">
        <v>1200</v>
      </c>
      <c r="G234" s="304">
        <f t="shared" si="11"/>
        <v>100</v>
      </c>
      <c r="H234" s="38">
        <v>24325</v>
      </c>
      <c r="I234" s="277">
        <f t="shared" si="13"/>
        <v>18745</v>
      </c>
      <c r="J234" s="277">
        <f t="shared" si="12"/>
        <v>77.060637204522095</v>
      </c>
    </row>
    <row r="235" spans="1:10" ht="18.75" customHeight="1" x14ac:dyDescent="0.2">
      <c r="A235" s="818">
        <v>6.3</v>
      </c>
      <c r="B235" s="817" t="s">
        <v>163</v>
      </c>
      <c r="C235" s="815" t="s">
        <v>46</v>
      </c>
      <c r="D235" s="821" t="s">
        <v>161</v>
      </c>
      <c r="E235" s="38">
        <v>12</v>
      </c>
      <c r="F235" s="273">
        <v>12</v>
      </c>
      <c r="G235" s="304">
        <f t="shared" si="11"/>
        <v>100</v>
      </c>
      <c r="H235" s="38">
        <v>24325</v>
      </c>
      <c r="I235" s="277">
        <f t="shared" si="13"/>
        <v>18745</v>
      </c>
      <c r="J235" s="277">
        <f t="shared" si="12"/>
        <v>77.060637204522095</v>
      </c>
    </row>
    <row r="236" spans="1:10" ht="18.75" customHeight="1" x14ac:dyDescent="0.2">
      <c r="A236" s="816">
        <v>7</v>
      </c>
      <c r="B236" s="822" t="s">
        <v>164</v>
      </c>
      <c r="C236" s="821"/>
      <c r="D236" s="821"/>
      <c r="E236" s="37"/>
      <c r="F236" s="273"/>
      <c r="G236" s="349"/>
      <c r="H236" s="39">
        <f>SUM(H237:H239)</f>
        <v>72975</v>
      </c>
      <c r="I236" s="313">
        <f>SUM(I237:I239)</f>
        <v>56235</v>
      </c>
      <c r="J236" s="278">
        <f t="shared" si="12"/>
        <v>77.060637204522095</v>
      </c>
    </row>
    <row r="237" spans="1:10" ht="18.75" customHeight="1" x14ac:dyDescent="0.2">
      <c r="A237" s="818">
        <v>7.1</v>
      </c>
      <c r="B237" s="817" t="s">
        <v>165</v>
      </c>
      <c r="C237" s="815" t="s">
        <v>46</v>
      </c>
      <c r="D237" s="821" t="s">
        <v>161</v>
      </c>
      <c r="E237" s="38">
        <v>460</v>
      </c>
      <c r="F237" s="273">
        <v>451</v>
      </c>
      <c r="G237" s="304">
        <f t="shared" si="11"/>
        <v>98.043478260869563</v>
      </c>
      <c r="H237" s="38">
        <v>24325</v>
      </c>
      <c r="I237" s="277">
        <f t="shared" si="13"/>
        <v>18745</v>
      </c>
      <c r="J237" s="277">
        <f t="shared" si="12"/>
        <v>77.060637204522095</v>
      </c>
    </row>
    <row r="238" spans="1:10" ht="18.75" customHeight="1" x14ac:dyDescent="0.2">
      <c r="A238" s="818">
        <v>7.2</v>
      </c>
      <c r="B238" s="817" t="s">
        <v>166</v>
      </c>
      <c r="C238" s="815" t="s">
        <v>46</v>
      </c>
      <c r="D238" s="821" t="s">
        <v>161</v>
      </c>
      <c r="E238" s="38">
        <v>36</v>
      </c>
      <c r="F238" s="273">
        <v>34</v>
      </c>
      <c r="G238" s="304">
        <f t="shared" si="11"/>
        <v>94.444444444444443</v>
      </c>
      <c r="H238" s="38">
        <v>24325</v>
      </c>
      <c r="I238" s="277">
        <f t="shared" si="13"/>
        <v>18745</v>
      </c>
      <c r="J238" s="277">
        <f t="shared" si="12"/>
        <v>77.060637204522095</v>
      </c>
    </row>
    <row r="239" spans="1:10" ht="18.75" customHeight="1" x14ac:dyDescent="0.2">
      <c r="A239" s="818">
        <v>7.3</v>
      </c>
      <c r="B239" s="817" t="s">
        <v>167</v>
      </c>
      <c r="C239" s="815" t="s">
        <v>46</v>
      </c>
      <c r="D239" s="821" t="s">
        <v>161</v>
      </c>
      <c r="E239" s="38">
        <v>200</v>
      </c>
      <c r="F239" s="273">
        <v>185</v>
      </c>
      <c r="G239" s="304">
        <f t="shared" si="11"/>
        <v>92.5</v>
      </c>
      <c r="H239" s="38">
        <v>24325</v>
      </c>
      <c r="I239" s="277">
        <f t="shared" si="13"/>
        <v>18745</v>
      </c>
      <c r="J239" s="277">
        <f t="shared" si="12"/>
        <v>77.060637204522095</v>
      </c>
    </row>
    <row r="240" spans="1:10" ht="18.75" customHeight="1" x14ac:dyDescent="0.2">
      <c r="A240" s="340" t="s">
        <v>1024</v>
      </c>
      <c r="C240" s="658"/>
      <c r="D240" s="658"/>
      <c r="E240" s="24"/>
      <c r="F240" s="318"/>
      <c r="G240" s="655"/>
      <c r="H240" s="325">
        <f>SUM(H241:H245)</f>
        <v>3560064</v>
      </c>
      <c r="I240" s="320">
        <f>SUM(I241:I245)</f>
        <v>3344685.92</v>
      </c>
      <c r="J240" s="320">
        <f>+I240/H240*100</f>
        <v>93.950162693704371</v>
      </c>
    </row>
    <row r="241" spans="1:10" ht="18.75" customHeight="1" x14ac:dyDescent="0.2">
      <c r="A241" s="955">
        <v>1</v>
      </c>
      <c r="B241" s="956" t="s">
        <v>1571</v>
      </c>
      <c r="C241" s="957" t="s">
        <v>168</v>
      </c>
      <c r="D241" s="815" t="s">
        <v>205</v>
      </c>
      <c r="E241" s="845">
        <v>10</v>
      </c>
      <c r="F241" s="277">
        <v>10</v>
      </c>
      <c r="G241" s="304">
        <f t="shared" si="11"/>
        <v>100</v>
      </c>
      <c r="H241" s="978">
        <f>10600+437737</f>
        <v>448337</v>
      </c>
      <c r="I241" s="958">
        <v>421237.97</v>
      </c>
      <c r="J241" s="958">
        <f>+I241/H241*100</f>
        <v>93.955656124745445</v>
      </c>
    </row>
    <row r="242" spans="1:10" ht="18.75" customHeight="1" x14ac:dyDescent="0.2">
      <c r="A242" s="955"/>
      <c r="B242" s="956"/>
      <c r="C242" s="957"/>
      <c r="D242" s="815" t="s">
        <v>204</v>
      </c>
      <c r="E242" s="845">
        <v>116</v>
      </c>
      <c r="F242" s="277">
        <v>116</v>
      </c>
      <c r="G242" s="304">
        <f t="shared" si="11"/>
        <v>100</v>
      </c>
      <c r="H242" s="978"/>
      <c r="I242" s="959"/>
      <c r="J242" s="959"/>
    </row>
    <row r="243" spans="1:10" ht="37.5" customHeight="1" x14ac:dyDescent="0.2">
      <c r="A243" s="816">
        <v>2</v>
      </c>
      <c r="B243" s="817" t="s">
        <v>1572</v>
      </c>
      <c r="C243" s="815" t="s">
        <v>168</v>
      </c>
      <c r="D243" s="815" t="s">
        <v>208</v>
      </c>
      <c r="E243" s="845">
        <v>2</v>
      </c>
      <c r="F243" s="277">
        <v>2</v>
      </c>
      <c r="G243" s="304">
        <f t="shared" si="11"/>
        <v>100</v>
      </c>
      <c r="H243" s="845">
        <v>25519</v>
      </c>
      <c r="I243" s="847">
        <v>25410.62</v>
      </c>
      <c r="J243" s="277">
        <f t="shared" ref="J243:J249" si="14">+I243/H243*100</f>
        <v>99.57529683765037</v>
      </c>
    </row>
    <row r="244" spans="1:10" ht="25.5" customHeight="1" x14ac:dyDescent="0.2">
      <c r="A244" s="816">
        <v>3</v>
      </c>
      <c r="B244" s="817" t="s">
        <v>1233</v>
      </c>
      <c r="C244" s="820" t="s">
        <v>630</v>
      </c>
      <c r="D244" s="815" t="s">
        <v>1272</v>
      </c>
      <c r="E244" s="845">
        <v>1</v>
      </c>
      <c r="F244" s="277">
        <v>1</v>
      </c>
      <c r="G244" s="304">
        <f t="shared" si="11"/>
        <v>100</v>
      </c>
      <c r="H244" s="845">
        <f>2025155+80237</f>
        <v>2105392</v>
      </c>
      <c r="I244" s="847">
        <v>1936699.72</v>
      </c>
      <c r="J244" s="277">
        <f t="shared" si="14"/>
        <v>91.98760705844802</v>
      </c>
    </row>
    <row r="245" spans="1:10" ht="30.75" customHeight="1" x14ac:dyDescent="0.2">
      <c r="A245" s="816">
        <v>4</v>
      </c>
      <c r="B245" s="814" t="s">
        <v>1448</v>
      </c>
      <c r="C245" s="820" t="s">
        <v>1077</v>
      </c>
      <c r="D245" s="815" t="s">
        <v>1446</v>
      </c>
      <c r="E245" s="845">
        <v>1</v>
      </c>
      <c r="F245" s="277">
        <v>1</v>
      </c>
      <c r="G245" s="304">
        <f t="shared" si="11"/>
        <v>100</v>
      </c>
      <c r="H245" s="845">
        <f>925390+55426</f>
        <v>980816</v>
      </c>
      <c r="I245" s="847">
        <f>925389.71+35947.9</f>
        <v>961337.61</v>
      </c>
      <c r="J245" s="277">
        <f t="shared" si="14"/>
        <v>98.014062780378779</v>
      </c>
    </row>
    <row r="246" spans="1:10" ht="18.75" customHeight="1" x14ac:dyDescent="0.2">
      <c r="A246" s="816"/>
      <c r="B246" s="53" t="s">
        <v>1410</v>
      </c>
      <c r="C246" s="820"/>
      <c r="D246" s="820"/>
      <c r="E246" s="845"/>
      <c r="F246" s="847"/>
      <c r="G246" s="63"/>
      <c r="H246" s="478">
        <f>+H247</f>
        <v>963703</v>
      </c>
      <c r="I246" s="393">
        <f>+I247</f>
        <v>868712.01</v>
      </c>
      <c r="J246" s="393">
        <f t="shared" si="14"/>
        <v>90.143126046095119</v>
      </c>
    </row>
    <row r="247" spans="1:10" s="145" customFormat="1" ht="49.5" customHeight="1" x14ac:dyDescent="0.2">
      <c r="A247" s="816">
        <v>1</v>
      </c>
      <c r="B247" s="819" t="s">
        <v>1573</v>
      </c>
      <c r="C247" s="815" t="s">
        <v>168</v>
      </c>
      <c r="D247" s="820" t="s">
        <v>64</v>
      </c>
      <c r="E247" s="845">
        <v>1</v>
      </c>
      <c r="F247" s="847">
        <v>1</v>
      </c>
      <c r="G247" s="304">
        <f t="shared" si="11"/>
        <v>100</v>
      </c>
      <c r="H247" s="845">
        <f>870953+89517+3233</f>
        <v>963703</v>
      </c>
      <c r="I247" s="847">
        <f>868265.01+447</f>
        <v>868712.01</v>
      </c>
      <c r="J247" s="847">
        <f t="shared" si="14"/>
        <v>90.143126046095119</v>
      </c>
    </row>
    <row r="248" spans="1:10" ht="18.75" customHeight="1" x14ac:dyDescent="0.2">
      <c r="A248" s="340" t="s">
        <v>1025</v>
      </c>
      <c r="C248" s="161"/>
      <c r="D248" s="161"/>
      <c r="E248" s="845"/>
      <c r="F248" s="847"/>
      <c r="G248" s="63"/>
      <c r="H248" s="325">
        <f>SUM(H249:H285)</f>
        <v>9107481</v>
      </c>
      <c r="I248" s="320">
        <f>SUM(I249:I285)</f>
        <v>6702469.5</v>
      </c>
      <c r="J248" s="320">
        <f t="shared" si="14"/>
        <v>73.593011064200951</v>
      </c>
    </row>
    <row r="249" spans="1:10" ht="18.75" customHeight="1" x14ac:dyDescent="0.2">
      <c r="A249" s="955">
        <v>1</v>
      </c>
      <c r="B249" s="956" t="s">
        <v>169</v>
      </c>
      <c r="C249" s="980" t="s">
        <v>170</v>
      </c>
      <c r="D249" s="442" t="s">
        <v>171</v>
      </c>
      <c r="E249" s="845">
        <v>6</v>
      </c>
      <c r="F249" s="443">
        <v>6</v>
      </c>
      <c r="G249" s="803">
        <f>+F249/E249*100</f>
        <v>100</v>
      </c>
      <c r="H249" s="978">
        <v>1701811</v>
      </c>
      <c r="I249" s="958">
        <v>1701485.6</v>
      </c>
      <c r="J249" s="958">
        <f t="shared" si="14"/>
        <v>99.98087919281285</v>
      </c>
    </row>
    <row r="250" spans="1:10" ht="18.75" customHeight="1" x14ac:dyDescent="0.2">
      <c r="A250" s="955"/>
      <c r="B250" s="956"/>
      <c r="C250" s="980"/>
      <c r="D250" s="442" t="s">
        <v>207</v>
      </c>
      <c r="E250" s="845">
        <v>1</v>
      </c>
      <c r="F250" s="443">
        <v>1</v>
      </c>
      <c r="G250" s="803">
        <f t="shared" ref="G250:G260" si="15">+F250/E250*100</f>
        <v>100</v>
      </c>
      <c r="H250" s="978"/>
      <c r="I250" s="970"/>
      <c r="J250" s="970"/>
    </row>
    <row r="251" spans="1:10" ht="18.75" customHeight="1" x14ac:dyDescent="0.2">
      <c r="A251" s="955"/>
      <c r="B251" s="956"/>
      <c r="C251" s="980"/>
      <c r="D251" s="442" t="s">
        <v>172</v>
      </c>
      <c r="E251" s="845">
        <v>1</v>
      </c>
      <c r="F251" s="847">
        <v>1</v>
      </c>
      <c r="G251" s="803">
        <f t="shared" si="15"/>
        <v>100</v>
      </c>
      <c r="H251" s="978"/>
      <c r="I251" s="970"/>
      <c r="J251" s="970"/>
    </row>
    <row r="252" spans="1:10" ht="18.75" customHeight="1" x14ac:dyDescent="0.2">
      <c r="A252" s="955"/>
      <c r="B252" s="956"/>
      <c r="C252" s="980"/>
      <c r="D252" s="442" t="s">
        <v>206</v>
      </c>
      <c r="E252" s="845">
        <v>4</v>
      </c>
      <c r="F252" s="847">
        <v>4</v>
      </c>
      <c r="G252" s="803">
        <f t="shared" si="15"/>
        <v>100</v>
      </c>
      <c r="H252" s="978"/>
      <c r="I252" s="970"/>
      <c r="J252" s="970"/>
    </row>
    <row r="253" spans="1:10" ht="18.75" customHeight="1" x14ac:dyDescent="0.2">
      <c r="A253" s="955"/>
      <c r="B253" s="956"/>
      <c r="C253" s="980"/>
      <c r="D253" s="442" t="s">
        <v>173</v>
      </c>
      <c r="E253" s="845">
        <v>1</v>
      </c>
      <c r="F253" s="847">
        <v>1</v>
      </c>
      <c r="G253" s="803">
        <f t="shared" si="15"/>
        <v>100</v>
      </c>
      <c r="H253" s="978"/>
      <c r="I253" s="970"/>
      <c r="J253" s="970"/>
    </row>
    <row r="254" spans="1:10" ht="18.75" customHeight="1" x14ac:dyDescent="0.2">
      <c r="A254" s="955"/>
      <c r="B254" s="956"/>
      <c r="C254" s="980"/>
      <c r="D254" s="442" t="s">
        <v>174</v>
      </c>
      <c r="E254" s="845">
        <v>1</v>
      </c>
      <c r="F254" s="847">
        <v>1</v>
      </c>
      <c r="G254" s="803">
        <f t="shared" si="15"/>
        <v>100</v>
      </c>
      <c r="H254" s="978"/>
      <c r="I254" s="970"/>
      <c r="J254" s="970"/>
    </row>
    <row r="255" spans="1:10" ht="18.75" customHeight="1" x14ac:dyDescent="0.2">
      <c r="A255" s="955"/>
      <c r="B255" s="956"/>
      <c r="C255" s="980"/>
      <c r="D255" s="442" t="s">
        <v>175</v>
      </c>
      <c r="E255" s="845">
        <v>1</v>
      </c>
      <c r="F255" s="847">
        <v>1</v>
      </c>
      <c r="G255" s="803">
        <f t="shared" si="15"/>
        <v>100</v>
      </c>
      <c r="H255" s="978"/>
      <c r="I255" s="970"/>
      <c r="J255" s="970"/>
    </row>
    <row r="256" spans="1:10" ht="18.75" customHeight="1" x14ac:dyDescent="0.2">
      <c r="A256" s="955"/>
      <c r="B256" s="956"/>
      <c r="C256" s="980"/>
      <c r="D256" s="442" t="s">
        <v>209</v>
      </c>
      <c r="E256" s="845">
        <v>1</v>
      </c>
      <c r="F256" s="847">
        <v>1</v>
      </c>
      <c r="G256" s="803">
        <f t="shared" si="15"/>
        <v>100</v>
      </c>
      <c r="H256" s="978"/>
      <c r="I256" s="970"/>
      <c r="J256" s="970"/>
    </row>
    <row r="257" spans="1:10" ht="18.75" customHeight="1" x14ac:dyDescent="0.2">
      <c r="A257" s="955"/>
      <c r="B257" s="956"/>
      <c r="C257" s="980"/>
      <c r="D257" s="442" t="s">
        <v>210</v>
      </c>
      <c r="E257" s="845">
        <v>1</v>
      </c>
      <c r="F257" s="847">
        <v>1</v>
      </c>
      <c r="G257" s="803">
        <f t="shared" si="15"/>
        <v>100</v>
      </c>
      <c r="H257" s="978"/>
      <c r="I257" s="970"/>
      <c r="J257" s="970"/>
    </row>
    <row r="258" spans="1:10" ht="18.75" customHeight="1" x14ac:dyDescent="0.2">
      <c r="A258" s="955"/>
      <c r="B258" s="956"/>
      <c r="C258" s="980"/>
      <c r="D258" s="442" t="s">
        <v>176</v>
      </c>
      <c r="E258" s="845">
        <v>1</v>
      </c>
      <c r="F258" s="847">
        <v>1</v>
      </c>
      <c r="G258" s="803">
        <f t="shared" si="15"/>
        <v>100</v>
      </c>
      <c r="H258" s="978"/>
      <c r="I258" s="970"/>
      <c r="J258" s="970"/>
    </row>
    <row r="259" spans="1:10" ht="18.75" customHeight="1" x14ac:dyDescent="0.2">
      <c r="A259" s="955"/>
      <c r="B259" s="956"/>
      <c r="C259" s="980"/>
      <c r="D259" s="442" t="s">
        <v>177</v>
      </c>
      <c r="E259" s="845">
        <v>1</v>
      </c>
      <c r="F259" s="847">
        <v>1</v>
      </c>
      <c r="G259" s="803">
        <f t="shared" si="15"/>
        <v>100</v>
      </c>
      <c r="H259" s="978"/>
      <c r="I259" s="970"/>
      <c r="J259" s="970"/>
    </row>
    <row r="260" spans="1:10" ht="18.75" customHeight="1" x14ac:dyDescent="0.2">
      <c r="A260" s="955"/>
      <c r="B260" s="956"/>
      <c r="C260" s="980"/>
      <c r="D260" s="442" t="s">
        <v>1472</v>
      </c>
      <c r="E260" s="845">
        <v>1</v>
      </c>
      <c r="F260" s="847">
        <v>1</v>
      </c>
      <c r="G260" s="803">
        <f t="shared" si="15"/>
        <v>100</v>
      </c>
      <c r="H260" s="978"/>
      <c r="I260" s="959"/>
      <c r="J260" s="959"/>
    </row>
    <row r="261" spans="1:10" ht="18.75" customHeight="1" x14ac:dyDescent="0.2">
      <c r="A261" s="955">
        <v>2</v>
      </c>
      <c r="B261" s="996" t="s">
        <v>1619</v>
      </c>
      <c r="C261" s="980" t="s">
        <v>170</v>
      </c>
      <c r="D261" s="164" t="s">
        <v>171</v>
      </c>
      <c r="E261" s="845">
        <v>4</v>
      </c>
      <c r="F261" s="857" t="s">
        <v>1469</v>
      </c>
      <c r="G261" s="804" t="s">
        <v>1470</v>
      </c>
      <c r="H261" s="978">
        <v>234415</v>
      </c>
      <c r="I261" s="1006">
        <v>234404.99</v>
      </c>
      <c r="J261" s="1006">
        <f>+I261*100/H261</f>
        <v>99.995729795448241</v>
      </c>
    </row>
    <row r="262" spans="1:10" ht="18.75" customHeight="1" x14ac:dyDescent="0.2">
      <c r="A262" s="955"/>
      <c r="B262" s="996"/>
      <c r="C262" s="980"/>
      <c r="D262" s="164" t="s">
        <v>1468</v>
      </c>
      <c r="E262" s="845">
        <v>2</v>
      </c>
      <c r="F262" s="857" t="s">
        <v>1469</v>
      </c>
      <c r="G262" s="804" t="s">
        <v>1470</v>
      </c>
      <c r="H262" s="978"/>
      <c r="I262" s="1006"/>
      <c r="J262" s="1006"/>
    </row>
    <row r="263" spans="1:10" ht="18.75" customHeight="1" x14ac:dyDescent="0.2">
      <c r="A263" s="955"/>
      <c r="B263" s="996"/>
      <c r="C263" s="980"/>
      <c r="D263" s="164" t="s">
        <v>210</v>
      </c>
      <c r="E263" s="845">
        <v>1</v>
      </c>
      <c r="F263" s="857" t="s">
        <v>1469</v>
      </c>
      <c r="G263" s="804" t="s">
        <v>1470</v>
      </c>
      <c r="H263" s="978"/>
      <c r="I263" s="1006"/>
      <c r="J263" s="1006"/>
    </row>
    <row r="264" spans="1:10" ht="18.75" customHeight="1" x14ac:dyDescent="0.2">
      <c r="A264" s="955"/>
      <c r="B264" s="996"/>
      <c r="C264" s="980"/>
      <c r="D264" s="164" t="s">
        <v>178</v>
      </c>
      <c r="E264" s="845">
        <v>1</v>
      </c>
      <c r="F264" s="857" t="s">
        <v>1469</v>
      </c>
      <c r="G264" s="804" t="s">
        <v>1470</v>
      </c>
      <c r="H264" s="978"/>
      <c r="I264" s="1006"/>
      <c r="J264" s="1006"/>
    </row>
    <row r="265" spans="1:10" ht="18.75" customHeight="1" x14ac:dyDescent="0.2">
      <c r="A265" s="955"/>
      <c r="B265" s="996"/>
      <c r="C265" s="980"/>
      <c r="D265" s="164" t="s">
        <v>179</v>
      </c>
      <c r="E265" s="845">
        <v>1</v>
      </c>
      <c r="F265" s="857" t="s">
        <v>1469</v>
      </c>
      <c r="G265" s="804" t="s">
        <v>1470</v>
      </c>
      <c r="H265" s="978"/>
      <c r="I265" s="1006"/>
      <c r="J265" s="1006"/>
    </row>
    <row r="266" spans="1:10" ht="18.75" customHeight="1" x14ac:dyDescent="0.2">
      <c r="A266" s="955"/>
      <c r="B266" s="996"/>
      <c r="C266" s="980"/>
      <c r="D266" s="164" t="s">
        <v>173</v>
      </c>
      <c r="E266" s="845">
        <v>1</v>
      </c>
      <c r="F266" s="857" t="s">
        <v>1469</v>
      </c>
      <c r="G266" s="804" t="s">
        <v>1470</v>
      </c>
      <c r="H266" s="978"/>
      <c r="I266" s="1006"/>
      <c r="J266" s="1006"/>
    </row>
    <row r="267" spans="1:10" ht="18.75" customHeight="1" x14ac:dyDescent="0.2">
      <c r="A267" s="955"/>
      <c r="B267" s="996"/>
      <c r="C267" s="980"/>
      <c r="D267" s="164" t="s">
        <v>177</v>
      </c>
      <c r="E267" s="845">
        <v>1</v>
      </c>
      <c r="F267" s="857" t="s">
        <v>1469</v>
      </c>
      <c r="G267" s="804" t="s">
        <v>1470</v>
      </c>
      <c r="H267" s="978"/>
      <c r="I267" s="1006"/>
      <c r="J267" s="1006"/>
    </row>
    <row r="268" spans="1:10" ht="24.75" customHeight="1" x14ac:dyDescent="0.2">
      <c r="A268" s="955"/>
      <c r="B268" s="996"/>
      <c r="C268" s="980"/>
      <c r="D268" s="688" t="s">
        <v>1473</v>
      </c>
      <c r="E268" s="845">
        <v>1</v>
      </c>
      <c r="F268" s="857" t="s">
        <v>1469</v>
      </c>
      <c r="G268" s="804" t="s">
        <v>1470</v>
      </c>
      <c r="H268" s="978"/>
      <c r="I268" s="1006"/>
      <c r="J268" s="1006"/>
    </row>
    <row r="269" spans="1:10" ht="18.75" customHeight="1" x14ac:dyDescent="0.2">
      <c r="A269" s="955"/>
      <c r="B269" s="996"/>
      <c r="C269" s="980"/>
      <c r="D269" s="164" t="s">
        <v>211</v>
      </c>
      <c r="E269" s="845">
        <v>1</v>
      </c>
      <c r="F269" s="857" t="s">
        <v>1469</v>
      </c>
      <c r="G269" s="804" t="s">
        <v>1470</v>
      </c>
      <c r="H269" s="978"/>
      <c r="I269" s="1006"/>
      <c r="J269" s="1006"/>
    </row>
    <row r="270" spans="1:10" ht="18.75" customHeight="1" x14ac:dyDescent="0.2">
      <c r="A270" s="955"/>
      <c r="B270" s="996"/>
      <c r="C270" s="980"/>
      <c r="D270" s="164" t="s">
        <v>1471</v>
      </c>
      <c r="E270" s="845">
        <v>1</v>
      </c>
      <c r="F270" s="857" t="s">
        <v>1469</v>
      </c>
      <c r="G270" s="804" t="s">
        <v>1470</v>
      </c>
      <c r="H270" s="978"/>
      <c r="I270" s="1006"/>
      <c r="J270" s="1006"/>
    </row>
    <row r="271" spans="1:10" ht="18.75" customHeight="1" x14ac:dyDescent="0.2">
      <c r="A271" s="955"/>
      <c r="B271" s="996"/>
      <c r="C271" s="980"/>
      <c r="D271" s="164" t="s">
        <v>180</v>
      </c>
      <c r="E271" s="845">
        <v>1</v>
      </c>
      <c r="F271" s="857" t="s">
        <v>1469</v>
      </c>
      <c r="G271" s="804" t="s">
        <v>1470</v>
      </c>
      <c r="H271" s="978"/>
      <c r="I271" s="1006"/>
      <c r="J271" s="1006"/>
    </row>
    <row r="272" spans="1:10" ht="18.75" customHeight="1" x14ac:dyDescent="0.2">
      <c r="A272" s="955"/>
      <c r="B272" s="996"/>
      <c r="C272" s="980"/>
      <c r="D272" s="441" t="s">
        <v>207</v>
      </c>
      <c r="E272" s="845">
        <v>1</v>
      </c>
      <c r="F272" s="857" t="s">
        <v>1469</v>
      </c>
      <c r="G272" s="804" t="s">
        <v>1470</v>
      </c>
      <c r="H272" s="978"/>
      <c r="I272" s="1006"/>
      <c r="J272" s="1006"/>
    </row>
    <row r="273" spans="1:10" ht="18.75" customHeight="1" x14ac:dyDescent="0.2">
      <c r="A273" s="955"/>
      <c r="B273" s="996"/>
      <c r="C273" s="980"/>
      <c r="D273" s="441" t="s">
        <v>181</v>
      </c>
      <c r="E273" s="845">
        <v>1</v>
      </c>
      <c r="F273" s="857" t="s">
        <v>1469</v>
      </c>
      <c r="G273" s="804" t="s">
        <v>1470</v>
      </c>
      <c r="H273" s="978"/>
      <c r="I273" s="1006"/>
      <c r="J273" s="1006"/>
    </row>
    <row r="274" spans="1:10" ht="18.75" customHeight="1" x14ac:dyDescent="0.2">
      <c r="A274" s="955"/>
      <c r="B274" s="996"/>
      <c r="C274" s="980"/>
      <c r="D274" s="441" t="s">
        <v>182</v>
      </c>
      <c r="E274" s="845">
        <v>1</v>
      </c>
      <c r="F274" s="857" t="s">
        <v>1469</v>
      </c>
      <c r="G274" s="804" t="s">
        <v>1470</v>
      </c>
      <c r="H274" s="978"/>
      <c r="I274" s="1006"/>
      <c r="J274" s="1006"/>
    </row>
    <row r="275" spans="1:10" ht="18.75" customHeight="1" x14ac:dyDescent="0.2">
      <c r="A275" s="955"/>
      <c r="B275" s="996"/>
      <c r="C275" s="980"/>
      <c r="D275" s="441" t="s">
        <v>204</v>
      </c>
      <c r="E275" s="845">
        <v>1</v>
      </c>
      <c r="F275" s="857" t="s">
        <v>1469</v>
      </c>
      <c r="G275" s="804" t="s">
        <v>1470</v>
      </c>
      <c r="H275" s="978"/>
      <c r="I275" s="1006"/>
      <c r="J275" s="1006"/>
    </row>
    <row r="276" spans="1:10" ht="18.75" customHeight="1" x14ac:dyDescent="0.2">
      <c r="A276" s="955">
        <v>3</v>
      </c>
      <c r="B276" s="956" t="s">
        <v>183</v>
      </c>
      <c r="C276" s="980" t="s">
        <v>170</v>
      </c>
      <c r="D276" s="164" t="s">
        <v>184</v>
      </c>
      <c r="E276" s="845">
        <v>1</v>
      </c>
      <c r="F276" s="847">
        <v>1</v>
      </c>
      <c r="G276" s="804" t="s">
        <v>1470</v>
      </c>
      <c r="H276" s="967">
        <v>169295</v>
      </c>
      <c r="I276" s="958">
        <v>169286.86</v>
      </c>
      <c r="J276" s="958">
        <f>+I276/H276*100</f>
        <v>99.995191824920994</v>
      </c>
    </row>
    <row r="277" spans="1:10" ht="18.75" customHeight="1" x14ac:dyDescent="0.2">
      <c r="A277" s="955"/>
      <c r="B277" s="956"/>
      <c r="C277" s="980"/>
      <c r="D277" s="164" t="s">
        <v>172</v>
      </c>
      <c r="E277" s="845">
        <v>1</v>
      </c>
      <c r="F277" s="847">
        <v>1</v>
      </c>
      <c r="G277" s="804" t="s">
        <v>1470</v>
      </c>
      <c r="H277" s="968"/>
      <c r="I277" s="970"/>
      <c r="J277" s="970"/>
    </row>
    <row r="278" spans="1:10" ht="18.75" customHeight="1" x14ac:dyDescent="0.2">
      <c r="A278" s="955"/>
      <c r="B278" s="956"/>
      <c r="C278" s="980"/>
      <c r="D278" s="164" t="s">
        <v>173</v>
      </c>
      <c r="E278" s="845">
        <v>1</v>
      </c>
      <c r="F278" s="847">
        <v>1</v>
      </c>
      <c r="G278" s="804" t="s">
        <v>1470</v>
      </c>
      <c r="H278" s="968"/>
      <c r="I278" s="970"/>
      <c r="J278" s="970"/>
    </row>
    <row r="279" spans="1:10" ht="18.75" customHeight="1" x14ac:dyDescent="0.2">
      <c r="A279" s="955"/>
      <c r="B279" s="956"/>
      <c r="C279" s="980"/>
      <c r="D279" s="164" t="s">
        <v>185</v>
      </c>
      <c r="E279" s="845">
        <v>1</v>
      </c>
      <c r="F279" s="847">
        <v>1</v>
      </c>
      <c r="G279" s="804" t="s">
        <v>1470</v>
      </c>
      <c r="H279" s="968"/>
      <c r="I279" s="970"/>
      <c r="J279" s="970"/>
    </row>
    <row r="280" spans="1:10" ht="18.75" customHeight="1" x14ac:dyDescent="0.2">
      <c r="A280" s="955"/>
      <c r="B280" s="956"/>
      <c r="C280" s="980"/>
      <c r="D280" s="164" t="s">
        <v>186</v>
      </c>
      <c r="E280" s="845">
        <v>1</v>
      </c>
      <c r="F280" s="847">
        <v>1</v>
      </c>
      <c r="G280" s="804" t="s">
        <v>1470</v>
      </c>
      <c r="H280" s="968"/>
      <c r="I280" s="970"/>
      <c r="J280" s="970"/>
    </row>
    <row r="281" spans="1:10" ht="18.75" customHeight="1" x14ac:dyDescent="0.2">
      <c r="A281" s="955"/>
      <c r="B281" s="956"/>
      <c r="C281" s="980"/>
      <c r="D281" s="164" t="s">
        <v>187</v>
      </c>
      <c r="E281" s="845">
        <v>1</v>
      </c>
      <c r="F281" s="847">
        <v>1</v>
      </c>
      <c r="G281" s="804" t="s">
        <v>1470</v>
      </c>
      <c r="H281" s="969"/>
      <c r="I281" s="959"/>
      <c r="J281" s="959"/>
    </row>
    <row r="282" spans="1:10" ht="54" customHeight="1" x14ac:dyDescent="0.2">
      <c r="A282" s="43">
        <v>4</v>
      </c>
      <c r="B282" s="692" t="s">
        <v>1478</v>
      </c>
      <c r="C282" s="183" t="s">
        <v>170</v>
      </c>
      <c r="D282" s="183"/>
      <c r="E282" s="845"/>
      <c r="F282" s="277"/>
      <c r="G282" s="636"/>
      <c r="H282" s="838">
        <v>6735833</v>
      </c>
      <c r="I282" s="840">
        <v>4331195.3499999996</v>
      </c>
      <c r="J282" s="847">
        <f>+I282/H282*100</f>
        <v>64.300812534990101</v>
      </c>
    </row>
    <row r="283" spans="1:10" ht="43.5" customHeight="1" x14ac:dyDescent="0.2">
      <c r="A283" s="43">
        <v>5</v>
      </c>
      <c r="B283" s="604" t="s">
        <v>1582</v>
      </c>
      <c r="C283" s="183" t="s">
        <v>170</v>
      </c>
      <c r="D283" s="183" t="s">
        <v>611</v>
      </c>
      <c r="E283" s="845"/>
      <c r="F283" s="277"/>
      <c r="G283" s="636"/>
      <c r="H283" s="845">
        <v>22215</v>
      </c>
      <c r="I283" s="847">
        <v>22205.239999999998</v>
      </c>
      <c r="J283" s="847">
        <f>+I283/H283*100</f>
        <v>99.956065721359437</v>
      </c>
    </row>
    <row r="284" spans="1:10" ht="37.5" customHeight="1" x14ac:dyDescent="0.2">
      <c r="A284" s="43">
        <v>6</v>
      </c>
      <c r="B284" s="701" t="s">
        <v>1583</v>
      </c>
      <c r="C284" s="451"/>
      <c r="D284" s="161"/>
      <c r="E284" s="845"/>
      <c r="F284" s="277"/>
      <c r="G284" s="636"/>
      <c r="H284" s="841">
        <v>214390</v>
      </c>
      <c r="I284" s="843">
        <v>214380</v>
      </c>
      <c r="J284" s="847">
        <f>+I284/H284*100</f>
        <v>99.995335603339711</v>
      </c>
    </row>
    <row r="285" spans="1:10" ht="39.75" customHeight="1" x14ac:dyDescent="0.2">
      <c r="A285" s="43">
        <v>7</v>
      </c>
      <c r="B285" s="604" t="s">
        <v>1580</v>
      </c>
      <c r="C285" s="183" t="s">
        <v>170</v>
      </c>
      <c r="D285" s="164" t="s">
        <v>1446</v>
      </c>
      <c r="E285" s="845"/>
      <c r="F285" s="277"/>
      <c r="G285" s="636"/>
      <c r="H285" s="615">
        <v>29522</v>
      </c>
      <c r="I285" s="805">
        <v>29511.46</v>
      </c>
      <c r="J285" s="277">
        <f>+I285/H285*100</f>
        <v>99.964297811801359</v>
      </c>
    </row>
    <row r="286" spans="1:10" ht="18.75" customHeight="1" x14ac:dyDescent="0.2">
      <c r="A286" s="682"/>
      <c r="B286" s="53" t="s">
        <v>1411</v>
      </c>
      <c r="C286" s="161"/>
      <c r="D286" s="183"/>
      <c r="E286" s="845"/>
      <c r="F286" s="847"/>
      <c r="G286" s="63"/>
      <c r="H286" s="478">
        <f>SUM(H287:H297)</f>
        <v>1583984</v>
      </c>
      <c r="I286" s="393">
        <f>SUM(I287:I297)</f>
        <v>1514499</v>
      </c>
      <c r="J286" s="306">
        <f>+I286/H286*100</f>
        <v>95.61327639673128</v>
      </c>
    </row>
    <row r="287" spans="1:10" ht="18.75" customHeight="1" x14ac:dyDescent="0.2">
      <c r="A287" s="997">
        <v>1</v>
      </c>
      <c r="B287" s="1000" t="s">
        <v>2280</v>
      </c>
      <c r="C287" s="1003" t="s">
        <v>170</v>
      </c>
      <c r="D287" s="164" t="s">
        <v>171</v>
      </c>
      <c r="E287" s="845">
        <v>8</v>
      </c>
      <c r="F287" s="857" t="s">
        <v>1469</v>
      </c>
      <c r="G287" s="804" t="s">
        <v>1470</v>
      </c>
      <c r="H287" s="967">
        <v>1529974</v>
      </c>
      <c r="I287" s="958">
        <v>1460499</v>
      </c>
      <c r="J287" s="958">
        <f>+I287*100/H287</f>
        <v>95.459073160720379</v>
      </c>
    </row>
    <row r="288" spans="1:10" ht="18.75" customHeight="1" x14ac:dyDescent="0.2">
      <c r="A288" s="998"/>
      <c r="B288" s="1001"/>
      <c r="C288" s="1004"/>
      <c r="D288" s="164" t="s">
        <v>176</v>
      </c>
      <c r="E288" s="845">
        <v>1</v>
      </c>
      <c r="F288" s="857" t="s">
        <v>1469</v>
      </c>
      <c r="G288" s="804" t="s">
        <v>1470</v>
      </c>
      <c r="H288" s="968"/>
      <c r="I288" s="970"/>
      <c r="J288" s="970"/>
    </row>
    <row r="289" spans="1:10" ht="18.75" customHeight="1" x14ac:dyDescent="0.2">
      <c r="A289" s="998"/>
      <c r="B289" s="1001"/>
      <c r="C289" s="1004"/>
      <c r="D289" s="164" t="s">
        <v>210</v>
      </c>
      <c r="E289" s="845">
        <v>1</v>
      </c>
      <c r="F289" s="857" t="s">
        <v>1469</v>
      </c>
      <c r="G289" s="804" t="s">
        <v>1470</v>
      </c>
      <c r="H289" s="968"/>
      <c r="I289" s="970"/>
      <c r="J289" s="970"/>
    </row>
    <row r="290" spans="1:10" ht="18.75" customHeight="1" x14ac:dyDescent="0.2">
      <c r="A290" s="998"/>
      <c r="B290" s="1001"/>
      <c r="C290" s="1004"/>
      <c r="D290" s="164" t="s">
        <v>186</v>
      </c>
      <c r="E290" s="845">
        <v>3</v>
      </c>
      <c r="F290" s="857" t="s">
        <v>1469</v>
      </c>
      <c r="G290" s="804" t="s">
        <v>1470</v>
      </c>
      <c r="H290" s="968"/>
      <c r="I290" s="970"/>
      <c r="J290" s="970"/>
    </row>
    <row r="291" spans="1:10" ht="18.75" customHeight="1" x14ac:dyDescent="0.2">
      <c r="A291" s="998"/>
      <c r="B291" s="1001"/>
      <c r="C291" s="1004"/>
      <c r="D291" s="164" t="s">
        <v>174</v>
      </c>
      <c r="E291" s="845">
        <v>1</v>
      </c>
      <c r="F291" s="857" t="s">
        <v>1469</v>
      </c>
      <c r="G291" s="804" t="s">
        <v>1470</v>
      </c>
      <c r="H291" s="968"/>
      <c r="I291" s="970"/>
      <c r="J291" s="970"/>
    </row>
    <row r="292" spans="1:10" ht="18.75" customHeight="1" x14ac:dyDescent="0.2">
      <c r="A292" s="998"/>
      <c r="B292" s="1001"/>
      <c r="C292" s="1004"/>
      <c r="D292" s="164" t="s">
        <v>1474</v>
      </c>
      <c r="E292" s="845">
        <v>1</v>
      </c>
      <c r="F292" s="857" t="s">
        <v>1469</v>
      </c>
      <c r="G292" s="804" t="s">
        <v>1470</v>
      </c>
      <c r="H292" s="968"/>
      <c r="I292" s="970"/>
      <c r="J292" s="970"/>
    </row>
    <row r="293" spans="1:10" ht="18.75" customHeight="1" x14ac:dyDescent="0.2">
      <c r="A293" s="998"/>
      <c r="B293" s="1001"/>
      <c r="C293" s="1004"/>
      <c r="D293" s="164" t="s">
        <v>205</v>
      </c>
      <c r="E293" s="845">
        <v>34</v>
      </c>
      <c r="F293" s="857" t="s">
        <v>1469</v>
      </c>
      <c r="G293" s="804" t="s">
        <v>1470</v>
      </c>
      <c r="H293" s="968"/>
      <c r="I293" s="970"/>
      <c r="J293" s="970"/>
    </row>
    <row r="294" spans="1:10" ht="18.75" customHeight="1" x14ac:dyDescent="0.2">
      <c r="A294" s="998"/>
      <c r="B294" s="1001"/>
      <c r="C294" s="1004"/>
      <c r="D294" s="164" t="s">
        <v>1475</v>
      </c>
      <c r="E294" s="845">
        <v>2</v>
      </c>
      <c r="F294" s="857" t="s">
        <v>1469</v>
      </c>
      <c r="G294" s="804" t="s">
        <v>1470</v>
      </c>
      <c r="H294" s="968"/>
      <c r="I294" s="970"/>
      <c r="J294" s="970"/>
    </row>
    <row r="295" spans="1:10" ht="27" customHeight="1" x14ac:dyDescent="0.2">
      <c r="A295" s="998"/>
      <c r="B295" s="1001"/>
      <c r="C295" s="1004"/>
      <c r="D295" s="164" t="s">
        <v>1476</v>
      </c>
      <c r="E295" s="845">
        <v>34</v>
      </c>
      <c r="F295" s="857" t="s">
        <v>1469</v>
      </c>
      <c r="G295" s="804" t="s">
        <v>1470</v>
      </c>
      <c r="H295" s="968"/>
      <c r="I295" s="970"/>
      <c r="J295" s="970"/>
    </row>
    <row r="296" spans="1:10" ht="27" customHeight="1" x14ac:dyDescent="0.2">
      <c r="A296" s="999"/>
      <c r="B296" s="1002"/>
      <c r="C296" s="1005"/>
      <c r="D296" s="164" t="s">
        <v>1477</v>
      </c>
      <c r="E296" s="845">
        <v>1</v>
      </c>
      <c r="F296" s="857" t="s">
        <v>1469</v>
      </c>
      <c r="G296" s="804" t="s">
        <v>1470</v>
      </c>
      <c r="H296" s="969"/>
      <c r="I296" s="959"/>
      <c r="J296" s="959"/>
    </row>
    <row r="297" spans="1:10" ht="44.25" customHeight="1" x14ac:dyDescent="0.2">
      <c r="A297" s="43">
        <v>2</v>
      </c>
      <c r="B297" s="701" t="s">
        <v>1581</v>
      </c>
      <c r="C297" s="183" t="s">
        <v>170</v>
      </c>
      <c r="D297" s="161"/>
      <c r="E297" s="845"/>
      <c r="F297" s="847"/>
      <c r="G297" s="63"/>
      <c r="H297" s="615">
        <v>54010</v>
      </c>
      <c r="I297" s="805">
        <v>54000</v>
      </c>
      <c r="J297" s="311">
        <f>+I297/H297*100</f>
        <v>99.981484910201814</v>
      </c>
    </row>
    <row r="298" spans="1:10" ht="18.75" customHeight="1" x14ac:dyDescent="0.2">
      <c r="A298" s="340" t="s">
        <v>1028</v>
      </c>
      <c r="B298" s="10"/>
      <c r="C298" s="183"/>
      <c r="D298" s="161"/>
      <c r="E298" s="845"/>
      <c r="F298" s="847"/>
      <c r="G298" s="63"/>
      <c r="H298" s="325">
        <f>SUM(H299:H356)</f>
        <v>12042545</v>
      </c>
      <c r="I298" s="320">
        <f>SUM(I299:I356)</f>
        <v>10723989.990000002</v>
      </c>
      <c r="J298" s="320">
        <f>+I298/H298*100</f>
        <v>89.050860843783454</v>
      </c>
    </row>
    <row r="299" spans="1:10" ht="27" customHeight="1" x14ac:dyDescent="0.2">
      <c r="A299" s="955">
        <v>1</v>
      </c>
      <c r="B299" s="956" t="s">
        <v>188</v>
      </c>
      <c r="C299" s="980" t="s">
        <v>189</v>
      </c>
      <c r="D299" s="607" t="s">
        <v>215</v>
      </c>
      <c r="E299" s="122">
        <v>466</v>
      </c>
      <c r="F299" s="273">
        <v>466</v>
      </c>
      <c r="G299" s="349">
        <f t="shared" ref="G299:G346" si="16">+F299/E299*100</f>
        <v>100</v>
      </c>
      <c r="H299" s="978">
        <v>684630</v>
      </c>
      <c r="I299" s="958">
        <v>646696.55000000005</v>
      </c>
      <c r="J299" s="958">
        <f>+I299/H299*100</f>
        <v>94.45927727385596</v>
      </c>
    </row>
    <row r="300" spans="1:10" ht="18.75" customHeight="1" x14ac:dyDescent="0.2">
      <c r="A300" s="955"/>
      <c r="B300" s="956"/>
      <c r="C300" s="980"/>
      <c r="D300" s="607" t="s">
        <v>440</v>
      </c>
      <c r="E300" s="122">
        <v>100.6</v>
      </c>
      <c r="F300" s="273">
        <v>100.6</v>
      </c>
      <c r="G300" s="349">
        <f t="shared" si="16"/>
        <v>100</v>
      </c>
      <c r="H300" s="978"/>
      <c r="I300" s="959"/>
      <c r="J300" s="959"/>
    </row>
    <row r="301" spans="1:10" ht="23.25" customHeight="1" x14ac:dyDescent="0.2">
      <c r="A301" s="43">
        <v>2</v>
      </c>
      <c r="B301" s="40" t="s">
        <v>190</v>
      </c>
      <c r="C301" s="183" t="s">
        <v>189</v>
      </c>
      <c r="D301" s="183" t="s">
        <v>191</v>
      </c>
      <c r="E301" s="845">
        <v>1</v>
      </c>
      <c r="F301" s="847">
        <v>1</v>
      </c>
      <c r="G301" s="349">
        <f t="shared" si="16"/>
        <v>100</v>
      </c>
      <c r="H301" s="845">
        <v>1900</v>
      </c>
      <c r="I301" s="847">
        <v>1900</v>
      </c>
      <c r="J301" s="847">
        <f>+I301/H301*100</f>
        <v>100</v>
      </c>
    </row>
    <row r="302" spans="1:10" ht="27.75" customHeight="1" x14ac:dyDescent="0.2">
      <c r="A302" s="43">
        <v>3</v>
      </c>
      <c r="B302" s="19" t="s">
        <v>441</v>
      </c>
      <c r="C302" s="183" t="s">
        <v>189</v>
      </c>
      <c r="D302" s="183" t="s">
        <v>192</v>
      </c>
      <c r="E302" s="845">
        <v>1</v>
      </c>
      <c r="F302" s="847">
        <v>1</v>
      </c>
      <c r="G302" s="349">
        <f t="shared" si="16"/>
        <v>100</v>
      </c>
      <c r="H302" s="845">
        <v>49000</v>
      </c>
      <c r="I302" s="847">
        <v>48824</v>
      </c>
      <c r="J302" s="847">
        <f>+I302/H302*100</f>
        <v>99.640816326530611</v>
      </c>
    </row>
    <row r="303" spans="1:10" ht="18.75" customHeight="1" x14ac:dyDescent="0.2">
      <c r="A303" s="955">
        <v>4</v>
      </c>
      <c r="B303" s="956" t="s">
        <v>193</v>
      </c>
      <c r="C303" s="980" t="s">
        <v>189</v>
      </c>
      <c r="D303" s="607" t="s">
        <v>171</v>
      </c>
      <c r="E303" s="845">
        <v>12</v>
      </c>
      <c r="F303" s="273">
        <v>12</v>
      </c>
      <c r="G303" s="349">
        <f t="shared" si="16"/>
        <v>100</v>
      </c>
      <c r="H303" s="978">
        <v>1548684</v>
      </c>
      <c r="I303" s="958">
        <v>1438103.56</v>
      </c>
      <c r="J303" s="958">
        <f>+I303/H303*100</f>
        <v>92.859715732841565</v>
      </c>
    </row>
    <row r="304" spans="1:10" ht="18.75" customHeight="1" x14ac:dyDescent="0.2">
      <c r="A304" s="955"/>
      <c r="B304" s="956"/>
      <c r="C304" s="980"/>
      <c r="D304" s="607" t="s">
        <v>194</v>
      </c>
      <c r="E304" s="845">
        <v>1</v>
      </c>
      <c r="F304" s="273">
        <v>1</v>
      </c>
      <c r="G304" s="349">
        <f t="shared" si="16"/>
        <v>100</v>
      </c>
      <c r="H304" s="978"/>
      <c r="I304" s="970"/>
      <c r="J304" s="970"/>
    </row>
    <row r="305" spans="1:10" ht="27" customHeight="1" x14ac:dyDescent="0.2">
      <c r="A305" s="955"/>
      <c r="B305" s="956"/>
      <c r="C305" s="980"/>
      <c r="D305" s="806" t="s">
        <v>195</v>
      </c>
      <c r="E305" s="845">
        <v>1</v>
      </c>
      <c r="F305" s="273">
        <v>1</v>
      </c>
      <c r="G305" s="349">
        <f t="shared" si="16"/>
        <v>100</v>
      </c>
      <c r="H305" s="978"/>
      <c r="I305" s="970"/>
      <c r="J305" s="970"/>
    </row>
    <row r="306" spans="1:10" ht="18.75" customHeight="1" x14ac:dyDescent="0.2">
      <c r="A306" s="955"/>
      <c r="B306" s="956"/>
      <c r="C306" s="980"/>
      <c r="D306" s="607" t="s">
        <v>196</v>
      </c>
      <c r="E306" s="845">
        <v>1</v>
      </c>
      <c r="F306" s="273">
        <v>1</v>
      </c>
      <c r="G306" s="349">
        <f t="shared" si="16"/>
        <v>100</v>
      </c>
      <c r="H306" s="978"/>
      <c r="I306" s="970"/>
      <c r="J306" s="970"/>
    </row>
    <row r="307" spans="1:10" ht="18.75" customHeight="1" x14ac:dyDescent="0.2">
      <c r="A307" s="955"/>
      <c r="B307" s="956"/>
      <c r="C307" s="980"/>
      <c r="D307" s="607" t="s">
        <v>212</v>
      </c>
      <c r="E307" s="845">
        <v>720</v>
      </c>
      <c r="F307" s="273">
        <v>0</v>
      </c>
      <c r="G307" s="349">
        <f t="shared" si="16"/>
        <v>0</v>
      </c>
      <c r="H307" s="978"/>
      <c r="I307" s="970"/>
      <c r="J307" s="970"/>
    </row>
    <row r="308" spans="1:10" ht="18.75" customHeight="1" x14ac:dyDescent="0.2">
      <c r="A308" s="955"/>
      <c r="B308" s="956"/>
      <c r="C308" s="980"/>
      <c r="D308" s="607" t="s">
        <v>197</v>
      </c>
      <c r="E308" s="845">
        <v>578.85</v>
      </c>
      <c r="F308" s="273">
        <v>578.9</v>
      </c>
      <c r="G308" s="349">
        <f t="shared" si="16"/>
        <v>100.00863781636002</v>
      </c>
      <c r="H308" s="978"/>
      <c r="I308" s="959"/>
      <c r="J308" s="959"/>
    </row>
    <row r="309" spans="1:10" ht="18.75" customHeight="1" x14ac:dyDescent="0.2">
      <c r="A309" s="955">
        <v>5</v>
      </c>
      <c r="B309" s="956" t="s">
        <v>442</v>
      </c>
      <c r="C309" s="980" t="s">
        <v>189</v>
      </c>
      <c r="D309" s="607" t="s">
        <v>171</v>
      </c>
      <c r="E309" s="845">
        <v>15</v>
      </c>
      <c r="F309" s="845">
        <v>15</v>
      </c>
      <c r="G309" s="349">
        <f t="shared" si="16"/>
        <v>100</v>
      </c>
      <c r="H309" s="978">
        <v>3402391</v>
      </c>
      <c r="I309" s="958">
        <v>2652770.19</v>
      </c>
      <c r="J309" s="958">
        <f>+I309/H309*100</f>
        <v>77.967822922174435</v>
      </c>
    </row>
    <row r="310" spans="1:10" ht="18.75" customHeight="1" x14ac:dyDescent="0.2">
      <c r="A310" s="955"/>
      <c r="B310" s="956"/>
      <c r="C310" s="980"/>
      <c r="D310" s="607" t="s">
        <v>198</v>
      </c>
      <c r="E310" s="845">
        <v>2</v>
      </c>
      <c r="F310" s="845">
        <v>2</v>
      </c>
      <c r="G310" s="349">
        <f t="shared" si="16"/>
        <v>100</v>
      </c>
      <c r="H310" s="978"/>
      <c r="I310" s="970"/>
      <c r="J310" s="970"/>
    </row>
    <row r="311" spans="1:10" ht="18.75" customHeight="1" x14ac:dyDescent="0.2">
      <c r="A311" s="955"/>
      <c r="B311" s="956"/>
      <c r="C311" s="980"/>
      <c r="D311" s="607" t="s">
        <v>214</v>
      </c>
      <c r="E311" s="845">
        <v>2</v>
      </c>
      <c r="F311" s="845">
        <v>2</v>
      </c>
      <c r="G311" s="349">
        <f t="shared" si="16"/>
        <v>100</v>
      </c>
      <c r="H311" s="978"/>
      <c r="I311" s="970"/>
      <c r="J311" s="970"/>
    </row>
    <row r="312" spans="1:10" ht="18.75" customHeight="1" x14ac:dyDescent="0.2">
      <c r="A312" s="955"/>
      <c r="B312" s="956"/>
      <c r="C312" s="980"/>
      <c r="D312" s="607" t="s">
        <v>199</v>
      </c>
      <c r="E312" s="845">
        <v>2</v>
      </c>
      <c r="F312" s="845">
        <v>2</v>
      </c>
      <c r="G312" s="349">
        <f t="shared" si="16"/>
        <v>100</v>
      </c>
      <c r="H312" s="978"/>
      <c r="I312" s="970"/>
      <c r="J312" s="970"/>
    </row>
    <row r="313" spans="1:10" ht="18.75" customHeight="1" x14ac:dyDescent="0.2">
      <c r="A313" s="955"/>
      <c r="B313" s="956"/>
      <c r="C313" s="980"/>
      <c r="D313" s="607" t="s">
        <v>200</v>
      </c>
      <c r="E313" s="845">
        <v>2</v>
      </c>
      <c r="F313" s="845">
        <v>2</v>
      </c>
      <c r="G313" s="349">
        <f t="shared" si="16"/>
        <v>100</v>
      </c>
      <c r="H313" s="978"/>
      <c r="I313" s="970"/>
      <c r="J313" s="970"/>
    </row>
    <row r="314" spans="1:10" ht="18.75" customHeight="1" x14ac:dyDescent="0.2">
      <c r="A314" s="955"/>
      <c r="B314" s="956"/>
      <c r="C314" s="980"/>
      <c r="D314" s="607" t="s">
        <v>201</v>
      </c>
      <c r="E314" s="845">
        <v>2</v>
      </c>
      <c r="F314" s="845">
        <v>2</v>
      </c>
      <c r="G314" s="349">
        <f t="shared" si="16"/>
        <v>100</v>
      </c>
      <c r="H314" s="978"/>
      <c r="I314" s="970"/>
      <c r="J314" s="970"/>
    </row>
    <row r="315" spans="1:10" ht="18.75" customHeight="1" x14ac:dyDescent="0.2">
      <c r="A315" s="955"/>
      <c r="B315" s="956"/>
      <c r="C315" s="980"/>
      <c r="D315" s="607" t="s">
        <v>202</v>
      </c>
      <c r="E315" s="845">
        <v>1</v>
      </c>
      <c r="F315" s="845">
        <v>1</v>
      </c>
      <c r="G315" s="349">
        <f t="shared" si="16"/>
        <v>100</v>
      </c>
      <c r="H315" s="978"/>
      <c r="I315" s="970"/>
      <c r="J315" s="970"/>
    </row>
    <row r="316" spans="1:10" ht="24.75" customHeight="1" x14ac:dyDescent="0.2">
      <c r="A316" s="955"/>
      <c r="B316" s="956"/>
      <c r="C316" s="980"/>
      <c r="D316" s="607" t="s">
        <v>443</v>
      </c>
      <c r="E316" s="845">
        <v>1</v>
      </c>
      <c r="F316" s="845">
        <v>1</v>
      </c>
      <c r="G316" s="349">
        <f t="shared" si="16"/>
        <v>100</v>
      </c>
      <c r="H316" s="978"/>
      <c r="I316" s="970"/>
      <c r="J316" s="970"/>
    </row>
    <row r="317" spans="1:10" ht="18.75" customHeight="1" x14ac:dyDescent="0.2">
      <c r="A317" s="955"/>
      <c r="B317" s="956"/>
      <c r="C317" s="980"/>
      <c r="D317" s="607" t="s">
        <v>194</v>
      </c>
      <c r="E317" s="845">
        <v>1</v>
      </c>
      <c r="F317" s="845">
        <v>1</v>
      </c>
      <c r="G317" s="349">
        <f t="shared" si="16"/>
        <v>100</v>
      </c>
      <c r="H317" s="978"/>
      <c r="I317" s="970"/>
      <c r="J317" s="970"/>
    </row>
    <row r="318" spans="1:10" ht="17.25" customHeight="1" x14ac:dyDescent="0.2">
      <c r="A318" s="955"/>
      <c r="B318" s="956"/>
      <c r="C318" s="980"/>
      <c r="D318" s="607" t="s">
        <v>176</v>
      </c>
      <c r="E318" s="845">
        <v>1</v>
      </c>
      <c r="F318" s="845">
        <v>1</v>
      </c>
      <c r="G318" s="349">
        <f t="shared" si="16"/>
        <v>100</v>
      </c>
      <c r="H318" s="978"/>
      <c r="I318" s="959"/>
      <c r="J318" s="959"/>
    </row>
    <row r="319" spans="1:10" ht="15" customHeight="1" x14ac:dyDescent="0.2">
      <c r="A319" s="955">
        <v>6</v>
      </c>
      <c r="B319" s="995" t="s">
        <v>203</v>
      </c>
      <c r="C319" s="980" t="s">
        <v>1641</v>
      </c>
      <c r="D319" s="607" t="s">
        <v>199</v>
      </c>
      <c r="E319" s="845">
        <v>1</v>
      </c>
      <c r="F319" s="390">
        <v>1</v>
      </c>
      <c r="G319" s="349">
        <f t="shared" si="16"/>
        <v>100</v>
      </c>
      <c r="H319" s="967">
        <v>273036</v>
      </c>
      <c r="I319" s="958">
        <v>273034.27</v>
      </c>
      <c r="J319" s="958">
        <f>+I319/H319*100</f>
        <v>99.999366383920076</v>
      </c>
    </row>
    <row r="320" spans="1:10" ht="28.5" customHeight="1" x14ac:dyDescent="0.2">
      <c r="A320" s="955"/>
      <c r="B320" s="995"/>
      <c r="C320" s="980"/>
      <c r="D320" s="607" t="s">
        <v>213</v>
      </c>
      <c r="E320" s="845">
        <v>50</v>
      </c>
      <c r="F320" s="390">
        <v>50</v>
      </c>
      <c r="G320" s="349">
        <f t="shared" si="16"/>
        <v>100</v>
      </c>
      <c r="H320" s="969"/>
      <c r="I320" s="959"/>
      <c r="J320" s="959"/>
    </row>
    <row r="321" spans="1:10" ht="19.5" customHeight="1" x14ac:dyDescent="0.2">
      <c r="A321" s="960">
        <v>7</v>
      </c>
      <c r="B321" s="963" t="s">
        <v>1516</v>
      </c>
      <c r="C321" s="965" t="s">
        <v>1055</v>
      </c>
      <c r="D321" s="607" t="s">
        <v>171</v>
      </c>
      <c r="E321" s="845">
        <v>14</v>
      </c>
      <c r="F321" s="390">
        <v>14</v>
      </c>
      <c r="G321" s="349">
        <f t="shared" si="16"/>
        <v>100</v>
      </c>
      <c r="H321" s="971">
        <f>1237629+447441</f>
        <v>1685070</v>
      </c>
      <c r="I321" s="974">
        <f>1204680.31+438954.33</f>
        <v>1643634.6400000001</v>
      </c>
      <c r="J321" s="958">
        <f>+I321/H321*100</f>
        <v>97.541030342953121</v>
      </c>
    </row>
    <row r="322" spans="1:10" ht="22.5" customHeight="1" x14ac:dyDescent="0.2">
      <c r="A322" s="961"/>
      <c r="B322" s="964"/>
      <c r="C322" s="966"/>
      <c r="D322" s="607" t="s">
        <v>1623</v>
      </c>
      <c r="E322" s="845">
        <v>1</v>
      </c>
      <c r="F322" s="390">
        <v>1</v>
      </c>
      <c r="G322" s="349">
        <f t="shared" si="16"/>
        <v>100</v>
      </c>
      <c r="H322" s="972"/>
      <c r="I322" s="975"/>
      <c r="J322" s="970"/>
    </row>
    <row r="323" spans="1:10" ht="26.25" customHeight="1" x14ac:dyDescent="0.2">
      <c r="A323" s="961"/>
      <c r="B323" s="964"/>
      <c r="C323" s="966"/>
      <c r="D323" s="607" t="s">
        <v>1622</v>
      </c>
      <c r="E323" s="845">
        <v>1</v>
      </c>
      <c r="F323" s="390">
        <v>1</v>
      </c>
      <c r="G323" s="349">
        <f t="shared" si="16"/>
        <v>100</v>
      </c>
      <c r="H323" s="972"/>
      <c r="I323" s="975"/>
      <c r="J323" s="970"/>
    </row>
    <row r="324" spans="1:10" ht="24.75" customHeight="1" x14ac:dyDescent="0.2">
      <c r="A324" s="961"/>
      <c r="B324" s="964"/>
      <c r="C324" s="966"/>
      <c r="D324" s="607" t="s">
        <v>195</v>
      </c>
      <c r="E324" s="845">
        <v>1</v>
      </c>
      <c r="F324" s="390">
        <v>1</v>
      </c>
      <c r="G324" s="349">
        <f t="shared" si="16"/>
        <v>100</v>
      </c>
      <c r="H324" s="972"/>
      <c r="I324" s="975"/>
      <c r="J324" s="970"/>
    </row>
    <row r="325" spans="1:10" ht="21" customHeight="1" x14ac:dyDescent="0.2">
      <c r="A325" s="961"/>
      <c r="B325" s="964"/>
      <c r="C325" s="966"/>
      <c r="D325" s="607" t="s">
        <v>198</v>
      </c>
      <c r="E325" s="845">
        <v>1</v>
      </c>
      <c r="F325" s="390">
        <v>1</v>
      </c>
      <c r="G325" s="349">
        <f t="shared" si="16"/>
        <v>100</v>
      </c>
      <c r="H325" s="972"/>
      <c r="I325" s="975"/>
      <c r="J325" s="970"/>
    </row>
    <row r="326" spans="1:10" ht="20.25" customHeight="1" x14ac:dyDescent="0.2">
      <c r="A326" s="961"/>
      <c r="B326" s="964"/>
      <c r="C326" s="966"/>
      <c r="D326" s="607" t="s">
        <v>1620</v>
      </c>
      <c r="E326" s="845">
        <v>1</v>
      </c>
      <c r="F326" s="390">
        <v>1</v>
      </c>
      <c r="G326" s="349">
        <f t="shared" si="16"/>
        <v>100</v>
      </c>
      <c r="H326" s="972"/>
      <c r="I326" s="975"/>
      <c r="J326" s="970"/>
    </row>
    <row r="327" spans="1:10" ht="20.25" customHeight="1" x14ac:dyDescent="0.2">
      <c r="A327" s="961"/>
      <c r="B327" s="964"/>
      <c r="C327" s="966"/>
      <c r="D327" s="607" t="s">
        <v>1621</v>
      </c>
      <c r="E327" s="845">
        <v>600</v>
      </c>
      <c r="F327" s="390">
        <v>600</v>
      </c>
      <c r="G327" s="349">
        <f t="shared" si="16"/>
        <v>100</v>
      </c>
      <c r="H327" s="972"/>
      <c r="I327" s="975"/>
      <c r="J327" s="970"/>
    </row>
    <row r="328" spans="1:10" ht="22.5" customHeight="1" x14ac:dyDescent="0.2">
      <c r="A328" s="962"/>
      <c r="B328" s="991"/>
      <c r="C328" s="977"/>
      <c r="D328" s="164" t="s">
        <v>204</v>
      </c>
      <c r="E328" s="845">
        <v>400</v>
      </c>
      <c r="F328" s="845">
        <v>400</v>
      </c>
      <c r="G328" s="349">
        <f t="shared" si="16"/>
        <v>100</v>
      </c>
      <c r="H328" s="973"/>
      <c r="I328" s="976"/>
      <c r="J328" s="959"/>
    </row>
    <row r="329" spans="1:10" ht="22.5" customHeight="1" x14ac:dyDescent="0.2">
      <c r="A329" s="960">
        <v>9</v>
      </c>
      <c r="B329" s="963" t="s">
        <v>1628</v>
      </c>
      <c r="C329" s="965" t="s">
        <v>189</v>
      </c>
      <c r="D329" s="807" t="s">
        <v>171</v>
      </c>
      <c r="E329" s="858">
        <v>3</v>
      </c>
      <c r="F329" s="858">
        <v>0.8</v>
      </c>
      <c r="G329" s="349">
        <f t="shared" si="16"/>
        <v>26.666666666666668</v>
      </c>
      <c r="H329" s="967">
        <v>1833332</v>
      </c>
      <c r="I329" s="958">
        <v>1667742</v>
      </c>
      <c r="J329" s="958">
        <v>90.97</v>
      </c>
    </row>
    <row r="330" spans="1:10" ht="29.25" customHeight="1" x14ac:dyDescent="0.2">
      <c r="A330" s="961"/>
      <c r="B330" s="964"/>
      <c r="C330" s="966"/>
      <c r="D330" s="807" t="s">
        <v>1630</v>
      </c>
      <c r="E330" s="858">
        <v>2</v>
      </c>
      <c r="F330" s="858">
        <v>0.08</v>
      </c>
      <c r="G330" s="349">
        <f t="shared" si="16"/>
        <v>4</v>
      </c>
      <c r="H330" s="968"/>
      <c r="I330" s="970"/>
      <c r="J330" s="970"/>
    </row>
    <row r="331" spans="1:10" ht="26.25" customHeight="1" x14ac:dyDescent="0.2">
      <c r="A331" s="961"/>
      <c r="B331" s="964"/>
      <c r="C331" s="966"/>
      <c r="D331" s="807" t="s">
        <v>1631</v>
      </c>
      <c r="E331" s="858">
        <v>3</v>
      </c>
      <c r="F331" s="858">
        <v>0.08</v>
      </c>
      <c r="G331" s="349">
        <f t="shared" si="16"/>
        <v>2.666666666666667</v>
      </c>
      <c r="H331" s="968"/>
      <c r="I331" s="970"/>
      <c r="J331" s="970"/>
    </row>
    <row r="332" spans="1:10" ht="17.25" customHeight="1" x14ac:dyDescent="0.2">
      <c r="A332" s="961"/>
      <c r="B332" s="964"/>
      <c r="C332" s="966"/>
      <c r="D332" s="807" t="s">
        <v>1629</v>
      </c>
      <c r="E332" s="858">
        <v>2</v>
      </c>
      <c r="F332" s="858">
        <v>0.08</v>
      </c>
      <c r="G332" s="349">
        <f t="shared" si="16"/>
        <v>4</v>
      </c>
      <c r="H332" s="968"/>
      <c r="I332" s="970"/>
      <c r="J332" s="970"/>
    </row>
    <row r="333" spans="1:10" ht="22.5" customHeight="1" x14ac:dyDescent="0.2">
      <c r="A333" s="961"/>
      <c r="B333" s="964"/>
      <c r="C333" s="966"/>
      <c r="D333" s="807" t="s">
        <v>1632</v>
      </c>
      <c r="E333" s="858">
        <v>646</v>
      </c>
      <c r="F333" s="858">
        <v>0.08</v>
      </c>
      <c r="G333" s="349">
        <f t="shared" si="16"/>
        <v>1.238390092879257E-2</v>
      </c>
      <c r="H333" s="968"/>
      <c r="I333" s="970"/>
      <c r="J333" s="970"/>
    </row>
    <row r="334" spans="1:10" ht="115.5" customHeight="1" x14ac:dyDescent="0.2">
      <c r="A334" s="961"/>
      <c r="B334" s="964"/>
      <c r="C334" s="966"/>
      <c r="D334" s="807" t="s">
        <v>1633</v>
      </c>
      <c r="E334" s="858">
        <v>4</v>
      </c>
      <c r="F334" s="858">
        <v>0.08</v>
      </c>
      <c r="G334" s="349">
        <f t="shared" si="16"/>
        <v>2</v>
      </c>
      <c r="H334" s="968"/>
      <c r="I334" s="970"/>
      <c r="J334" s="970"/>
    </row>
    <row r="335" spans="1:10" ht="21.75" customHeight="1" x14ac:dyDescent="0.2">
      <c r="A335" s="961"/>
      <c r="B335" s="964"/>
      <c r="C335" s="966"/>
      <c r="D335" s="807" t="s">
        <v>1634</v>
      </c>
      <c r="E335" s="858">
        <v>1</v>
      </c>
      <c r="F335" s="858"/>
      <c r="G335" s="349">
        <f t="shared" si="16"/>
        <v>0</v>
      </c>
      <c r="H335" s="968"/>
      <c r="I335" s="970"/>
      <c r="J335" s="970"/>
    </row>
    <row r="336" spans="1:10" ht="19.5" customHeight="1" x14ac:dyDescent="0.2">
      <c r="A336" s="961"/>
      <c r="B336" s="964"/>
      <c r="C336" s="966"/>
      <c r="D336" s="807" t="s">
        <v>1635</v>
      </c>
      <c r="E336" s="859">
        <v>153</v>
      </c>
      <c r="F336" s="859"/>
      <c r="G336" s="349">
        <f t="shared" si="16"/>
        <v>0</v>
      </c>
      <c r="H336" s="968"/>
      <c r="I336" s="970"/>
      <c r="J336" s="970"/>
    </row>
    <row r="337" spans="1:10" ht="41.25" customHeight="1" x14ac:dyDescent="0.2">
      <c r="A337" s="962"/>
      <c r="B337" s="964"/>
      <c r="C337" s="966"/>
      <c r="D337" s="808" t="s">
        <v>1636</v>
      </c>
      <c r="E337" s="63">
        <v>126</v>
      </c>
      <c r="F337" s="63"/>
      <c r="G337" s="349">
        <f t="shared" si="16"/>
        <v>0</v>
      </c>
      <c r="H337" s="969"/>
      <c r="I337" s="959"/>
      <c r="J337" s="959"/>
    </row>
    <row r="338" spans="1:10" ht="19.5" customHeight="1" x14ac:dyDescent="0.2">
      <c r="A338" s="960">
        <v>8</v>
      </c>
      <c r="B338" s="963" t="s">
        <v>1517</v>
      </c>
      <c r="C338" s="965" t="s">
        <v>189</v>
      </c>
      <c r="D338" s="607" t="s">
        <v>171</v>
      </c>
      <c r="E338" s="845">
        <v>5</v>
      </c>
      <c r="F338" s="390">
        <v>5</v>
      </c>
      <c r="G338" s="349">
        <f t="shared" si="16"/>
        <v>100</v>
      </c>
      <c r="H338" s="971">
        <f>552591+1225043</f>
        <v>1777634</v>
      </c>
      <c r="I338" s="974">
        <f>551239.37+1222184.36</f>
        <v>1773423.73</v>
      </c>
      <c r="J338" s="958">
        <f>+I338/H338*100</f>
        <v>99.76315315751161</v>
      </c>
    </row>
    <row r="339" spans="1:10" ht="19.5" customHeight="1" x14ac:dyDescent="0.2">
      <c r="A339" s="961"/>
      <c r="B339" s="964"/>
      <c r="C339" s="966"/>
      <c r="D339" s="607" t="s">
        <v>194</v>
      </c>
      <c r="E339" s="845">
        <v>1</v>
      </c>
      <c r="F339" s="390">
        <v>1</v>
      </c>
      <c r="G339" s="349">
        <f t="shared" si="16"/>
        <v>100</v>
      </c>
      <c r="H339" s="972"/>
      <c r="I339" s="975"/>
      <c r="J339" s="970"/>
    </row>
    <row r="340" spans="1:10" ht="25.5" x14ac:dyDescent="0.2">
      <c r="A340" s="961"/>
      <c r="B340" s="964"/>
      <c r="C340" s="966"/>
      <c r="D340" s="607" t="s">
        <v>1622</v>
      </c>
      <c r="E340" s="845">
        <v>1</v>
      </c>
      <c r="F340" s="390">
        <v>1</v>
      </c>
      <c r="G340" s="349">
        <f t="shared" si="16"/>
        <v>100</v>
      </c>
      <c r="H340" s="972"/>
      <c r="I340" s="975"/>
      <c r="J340" s="970"/>
    </row>
    <row r="341" spans="1:10" ht="25.5" x14ac:dyDescent="0.2">
      <c r="A341" s="961"/>
      <c r="B341" s="964"/>
      <c r="C341" s="966"/>
      <c r="D341" s="607" t="s">
        <v>195</v>
      </c>
      <c r="E341" s="845">
        <v>1</v>
      </c>
      <c r="F341" s="390">
        <v>1</v>
      </c>
      <c r="G341" s="349">
        <f t="shared" si="16"/>
        <v>100</v>
      </c>
      <c r="H341" s="972"/>
      <c r="I341" s="975"/>
      <c r="J341" s="970"/>
    </row>
    <row r="342" spans="1:10" x14ac:dyDescent="0.2">
      <c r="A342" s="961"/>
      <c r="B342" s="964"/>
      <c r="C342" s="966"/>
      <c r="D342" s="607" t="s">
        <v>198</v>
      </c>
      <c r="E342" s="845">
        <v>1</v>
      </c>
      <c r="F342" s="390">
        <v>1</v>
      </c>
      <c r="G342" s="349">
        <f t="shared" si="16"/>
        <v>100</v>
      </c>
      <c r="H342" s="972"/>
      <c r="I342" s="975"/>
      <c r="J342" s="970"/>
    </row>
    <row r="343" spans="1:10" ht="15" customHeight="1" x14ac:dyDescent="0.2">
      <c r="A343" s="961"/>
      <c r="B343" s="964"/>
      <c r="C343" s="966"/>
      <c r="D343" s="599" t="s">
        <v>1620</v>
      </c>
      <c r="E343" s="837">
        <v>1</v>
      </c>
      <c r="F343" s="860">
        <v>1</v>
      </c>
      <c r="G343" s="349">
        <f t="shared" si="16"/>
        <v>100</v>
      </c>
      <c r="H343" s="972"/>
      <c r="I343" s="975"/>
      <c r="J343" s="970"/>
    </row>
    <row r="344" spans="1:10" ht="15.75" customHeight="1" x14ac:dyDescent="0.2">
      <c r="A344" s="961"/>
      <c r="B344" s="964"/>
      <c r="C344" s="966"/>
      <c r="D344" s="607" t="s">
        <v>1637</v>
      </c>
      <c r="E344" s="845">
        <v>1</v>
      </c>
      <c r="F344" s="390">
        <v>1</v>
      </c>
      <c r="G344" s="349">
        <f t="shared" si="16"/>
        <v>100</v>
      </c>
      <c r="H344" s="972"/>
      <c r="I344" s="975"/>
      <c r="J344" s="970"/>
    </row>
    <row r="345" spans="1:10" x14ac:dyDescent="0.2">
      <c r="A345" s="961"/>
      <c r="B345" s="964"/>
      <c r="C345" s="966"/>
      <c r="D345" s="607" t="s">
        <v>1623</v>
      </c>
      <c r="E345" s="845">
        <v>1</v>
      </c>
      <c r="F345" s="390">
        <v>1</v>
      </c>
      <c r="G345" s="349">
        <f t="shared" si="16"/>
        <v>100</v>
      </c>
      <c r="H345" s="972"/>
      <c r="I345" s="975"/>
      <c r="J345" s="970"/>
    </row>
    <row r="346" spans="1:10" x14ac:dyDescent="0.2">
      <c r="A346" s="961"/>
      <c r="B346" s="964"/>
      <c r="C346" s="966"/>
      <c r="D346" s="607" t="s">
        <v>1640</v>
      </c>
      <c r="E346" s="845">
        <v>1</v>
      </c>
      <c r="F346" s="390">
        <v>1</v>
      </c>
      <c r="G346" s="349">
        <f t="shared" si="16"/>
        <v>100</v>
      </c>
      <c r="H346" s="972"/>
      <c r="I346" s="975"/>
      <c r="J346" s="970"/>
    </row>
    <row r="347" spans="1:10" ht="15.75" customHeight="1" x14ac:dyDescent="0.2">
      <c r="A347" s="961"/>
      <c r="B347" s="964"/>
      <c r="C347" s="966"/>
      <c r="D347" s="607" t="s">
        <v>1635</v>
      </c>
      <c r="E347" s="845"/>
      <c r="F347" s="390"/>
      <c r="G347" s="349"/>
      <c r="H347" s="972"/>
      <c r="I347" s="975"/>
      <c r="J347" s="970"/>
    </row>
    <row r="348" spans="1:10" ht="17.25" customHeight="1" x14ac:dyDescent="0.2">
      <c r="A348" s="961"/>
      <c r="B348" s="964"/>
      <c r="C348" s="966"/>
      <c r="D348" s="607" t="s">
        <v>1638</v>
      </c>
      <c r="E348" s="845">
        <v>600</v>
      </c>
      <c r="F348" s="390">
        <v>600</v>
      </c>
      <c r="G348" s="349">
        <f t="shared" ref="G348:G355" si="17">+F348/E348*100</f>
        <v>100</v>
      </c>
      <c r="H348" s="972"/>
      <c r="I348" s="975"/>
      <c r="J348" s="970"/>
    </row>
    <row r="349" spans="1:10" ht="16.5" customHeight="1" x14ac:dyDescent="0.2">
      <c r="A349" s="962"/>
      <c r="B349" s="991"/>
      <c r="C349" s="977"/>
      <c r="D349" s="164" t="s">
        <v>204</v>
      </c>
      <c r="E349" s="845">
        <v>226</v>
      </c>
      <c r="F349" s="390">
        <v>226</v>
      </c>
      <c r="G349" s="349">
        <f t="shared" si="17"/>
        <v>100</v>
      </c>
      <c r="H349" s="973"/>
      <c r="I349" s="976"/>
      <c r="J349" s="959"/>
    </row>
    <row r="350" spans="1:10" ht="39.75" customHeight="1" x14ac:dyDescent="0.2">
      <c r="A350" s="43">
        <v>9</v>
      </c>
      <c r="B350" s="604" t="s">
        <v>1519</v>
      </c>
      <c r="C350" s="183" t="s">
        <v>1055</v>
      </c>
      <c r="D350" s="607" t="s">
        <v>1639</v>
      </c>
      <c r="E350" s="845">
        <v>1</v>
      </c>
      <c r="F350" s="390">
        <v>0.8</v>
      </c>
      <c r="G350" s="349">
        <f t="shared" si="17"/>
        <v>80</v>
      </c>
      <c r="H350" s="845">
        <f>430000+93142</f>
        <v>523142</v>
      </c>
      <c r="I350" s="847">
        <f>335481.46+18981</f>
        <v>354462.46</v>
      </c>
      <c r="J350" s="847">
        <f>+I350/H350*100</f>
        <v>67.756452359015341</v>
      </c>
    </row>
    <row r="351" spans="1:10" ht="43.5" customHeight="1" x14ac:dyDescent="0.2">
      <c r="A351" s="809">
        <v>10</v>
      </c>
      <c r="B351" s="810" t="s">
        <v>1521</v>
      </c>
      <c r="C351" s="602" t="s">
        <v>189</v>
      </c>
      <c r="D351" s="183" t="s">
        <v>64</v>
      </c>
      <c r="E351" s="63">
        <v>1</v>
      </c>
      <c r="F351" s="63">
        <v>1</v>
      </c>
      <c r="G351" s="349">
        <f t="shared" si="17"/>
        <v>100</v>
      </c>
      <c r="H351" s="842">
        <v>99232</v>
      </c>
      <c r="I351" s="844">
        <v>95344.92</v>
      </c>
      <c r="J351" s="836">
        <f>+I351/H351*100</f>
        <v>96.082836181876814</v>
      </c>
    </row>
    <row r="352" spans="1:10" s="295" customFormat="1" ht="22.5" customHeight="1" x14ac:dyDescent="0.2">
      <c r="A352" s="43">
        <v>11</v>
      </c>
      <c r="B352" s="604" t="s">
        <v>1588</v>
      </c>
      <c r="C352" s="183" t="s">
        <v>189</v>
      </c>
      <c r="D352" s="607" t="s">
        <v>204</v>
      </c>
      <c r="E352" s="845">
        <v>1</v>
      </c>
      <c r="F352" s="390"/>
      <c r="G352" s="349">
        <f t="shared" si="17"/>
        <v>0</v>
      </c>
      <c r="H352" s="845">
        <v>36440</v>
      </c>
      <c r="I352" s="847">
        <v>0</v>
      </c>
      <c r="J352" s="835">
        <f t="shared" ref="J352:J357" si="18">+I352/H352*100</f>
        <v>0</v>
      </c>
    </row>
    <row r="353" spans="1:10" ht="22.5" customHeight="1" x14ac:dyDescent="0.2">
      <c r="A353" s="786">
        <v>12</v>
      </c>
      <c r="B353" s="604" t="s">
        <v>1587</v>
      </c>
      <c r="C353" s="183" t="s">
        <v>189</v>
      </c>
      <c r="D353" s="183" t="s">
        <v>64</v>
      </c>
      <c r="E353" s="63">
        <v>1</v>
      </c>
      <c r="F353" s="63"/>
      <c r="G353" s="349">
        <f t="shared" si="17"/>
        <v>0</v>
      </c>
      <c r="H353" s="839">
        <v>0</v>
      </c>
      <c r="I353" s="836">
        <v>0</v>
      </c>
      <c r="J353" s="835"/>
    </row>
    <row r="354" spans="1:10" ht="30" customHeight="1" x14ac:dyDescent="0.2">
      <c r="A354" s="786">
        <v>13</v>
      </c>
      <c r="B354" s="604" t="s">
        <v>1589</v>
      </c>
      <c r="C354" s="183" t="s">
        <v>189</v>
      </c>
      <c r="D354" s="607" t="s">
        <v>64</v>
      </c>
      <c r="E354" s="845">
        <v>1</v>
      </c>
      <c r="F354" s="390">
        <v>1</v>
      </c>
      <c r="G354" s="349">
        <f t="shared" si="17"/>
        <v>100</v>
      </c>
      <c r="H354" s="845">
        <v>4000</v>
      </c>
      <c r="I354" s="847">
        <v>4000</v>
      </c>
      <c r="J354" s="835">
        <f t="shared" si="18"/>
        <v>100</v>
      </c>
    </row>
    <row r="355" spans="1:10" ht="20.25" customHeight="1" x14ac:dyDescent="0.2">
      <c r="A355" s="786">
        <v>14</v>
      </c>
      <c r="B355" s="604" t="s">
        <v>1590</v>
      </c>
      <c r="C355" s="183" t="s">
        <v>189</v>
      </c>
      <c r="D355" s="607" t="s">
        <v>64</v>
      </c>
      <c r="E355" s="845">
        <v>1</v>
      </c>
      <c r="F355" s="390">
        <v>1</v>
      </c>
      <c r="G355" s="349">
        <f t="shared" si="17"/>
        <v>100</v>
      </c>
      <c r="H355" s="845">
        <v>5000</v>
      </c>
      <c r="I355" s="845">
        <v>5000</v>
      </c>
      <c r="J355" s="847">
        <v>100</v>
      </c>
    </row>
    <row r="356" spans="1:10" ht="24.75" customHeight="1" x14ac:dyDescent="0.2">
      <c r="A356" s="43">
        <v>15</v>
      </c>
      <c r="B356" s="701" t="s">
        <v>1591</v>
      </c>
      <c r="C356" s="183" t="s">
        <v>189</v>
      </c>
      <c r="D356" s="607" t="s">
        <v>64</v>
      </c>
      <c r="E356" s="839"/>
      <c r="F356" s="861"/>
      <c r="G356" s="349"/>
      <c r="H356" s="841">
        <v>119054</v>
      </c>
      <c r="I356" s="847">
        <v>119053.67</v>
      </c>
      <c r="J356" s="835">
        <f t="shared" si="18"/>
        <v>99.999722814857122</v>
      </c>
    </row>
    <row r="357" spans="1:10" ht="18.75" customHeight="1" x14ac:dyDescent="0.2">
      <c r="A357" s="682"/>
      <c r="B357" s="53" t="s">
        <v>1412</v>
      </c>
      <c r="C357" s="161"/>
      <c r="D357" s="183"/>
      <c r="E357" s="63"/>
      <c r="F357" s="63"/>
      <c r="G357" s="63"/>
      <c r="H357" s="478">
        <f>SUM(H358:H359)</f>
        <v>120000</v>
      </c>
      <c r="I357" s="393">
        <f>SUM(I358:I359)</f>
        <v>97666.67</v>
      </c>
      <c r="J357" s="567">
        <f t="shared" si="18"/>
        <v>81.388891666666666</v>
      </c>
    </row>
    <row r="358" spans="1:10" s="145" customFormat="1" ht="27.75" customHeight="1" x14ac:dyDescent="0.2">
      <c r="A358" s="43">
        <v>1</v>
      </c>
      <c r="B358" s="19" t="s">
        <v>1518</v>
      </c>
      <c r="C358" s="183" t="s">
        <v>1055</v>
      </c>
      <c r="D358" s="183" t="s">
        <v>64</v>
      </c>
      <c r="E358" s="63">
        <v>1</v>
      </c>
      <c r="F358" s="63"/>
      <c r="G358" s="63"/>
      <c r="H358" s="845"/>
      <c r="I358" s="845"/>
      <c r="J358" s="845"/>
    </row>
    <row r="359" spans="1:10" s="145" customFormat="1" ht="18.75" customHeight="1" x14ac:dyDescent="0.2">
      <c r="A359" s="43">
        <v>2</v>
      </c>
      <c r="B359" s="19" t="s">
        <v>1262</v>
      </c>
      <c r="C359" s="183" t="s">
        <v>189</v>
      </c>
      <c r="D359" s="183" t="s">
        <v>64</v>
      </c>
      <c r="E359" s="63">
        <v>1</v>
      </c>
      <c r="F359" s="63">
        <v>1</v>
      </c>
      <c r="G359" s="527">
        <v>100</v>
      </c>
      <c r="H359" s="845">
        <v>120000</v>
      </c>
      <c r="I359" s="847">
        <v>97666.67</v>
      </c>
      <c r="J359" s="847">
        <f>+I359/H359*100</f>
        <v>81.388891666666666</v>
      </c>
    </row>
    <row r="360" spans="1:10" ht="18.75" customHeight="1" x14ac:dyDescent="0.2">
      <c r="A360" s="340" t="s">
        <v>1050</v>
      </c>
      <c r="C360" s="161"/>
      <c r="D360" s="161"/>
      <c r="E360" s="63"/>
      <c r="F360" s="63"/>
      <c r="G360" s="63"/>
      <c r="H360" s="325">
        <f>SUM(H361:H376)</f>
        <v>15738176</v>
      </c>
      <c r="I360" s="320">
        <f>SUM(I361:I376)</f>
        <v>5801821.5799999991</v>
      </c>
      <c r="J360" s="320">
        <f>+I360/H360*100</f>
        <v>36.864637808091608</v>
      </c>
    </row>
    <row r="361" spans="1:10" ht="25.5" customHeight="1" x14ac:dyDescent="0.2">
      <c r="A361" s="43">
        <v>1</v>
      </c>
      <c r="B361" s="576" t="s">
        <v>1642</v>
      </c>
      <c r="C361" s="183" t="s">
        <v>628</v>
      </c>
      <c r="D361" s="183" t="s">
        <v>192</v>
      </c>
      <c r="E361" s="63"/>
      <c r="F361" s="63"/>
      <c r="G361" s="63"/>
      <c r="H361" s="845">
        <v>99381</v>
      </c>
      <c r="I361" s="847">
        <v>79052.600000000006</v>
      </c>
      <c r="J361" s="847">
        <f>+I361/H361*100</f>
        <v>79.544983447540289</v>
      </c>
    </row>
    <row r="362" spans="1:10" ht="25.5" customHeight="1" x14ac:dyDescent="0.2">
      <c r="A362" s="43">
        <v>2</v>
      </c>
      <c r="B362" s="485" t="s">
        <v>1568</v>
      </c>
      <c r="C362" s="183" t="s">
        <v>629</v>
      </c>
      <c r="D362" s="154" t="s">
        <v>1283</v>
      </c>
      <c r="E362" s="63">
        <v>1</v>
      </c>
      <c r="F362" s="63">
        <v>1</v>
      </c>
      <c r="G362" s="304">
        <v>100</v>
      </c>
      <c r="H362" s="845">
        <v>102500</v>
      </c>
      <c r="I362" s="847">
        <v>73129.679999999993</v>
      </c>
      <c r="J362" s="847">
        <f>+I362/H362*100</f>
        <v>71.346029268292682</v>
      </c>
    </row>
    <row r="363" spans="1:10" ht="15" customHeight="1" x14ac:dyDescent="0.2">
      <c r="A363" s="955">
        <v>3</v>
      </c>
      <c r="B363" s="979" t="s">
        <v>1045</v>
      </c>
      <c r="C363" s="980" t="s">
        <v>1046</v>
      </c>
      <c r="D363" s="164" t="s">
        <v>171</v>
      </c>
      <c r="E363" s="862">
        <v>6</v>
      </c>
      <c r="F363" s="63">
        <v>6</v>
      </c>
      <c r="G363" s="304">
        <v>100</v>
      </c>
      <c r="H363" s="978">
        <f>38060+725041</f>
        <v>763101</v>
      </c>
      <c r="I363" s="958">
        <f>38059.07+705658.14</f>
        <v>743717.21</v>
      </c>
      <c r="J363" s="958">
        <f t="shared" ref="J363:J370" si="19">+I363/H363*100</f>
        <v>97.459865732059058</v>
      </c>
    </row>
    <row r="364" spans="1:10" ht="15.75" customHeight="1" x14ac:dyDescent="0.2">
      <c r="A364" s="955"/>
      <c r="B364" s="979"/>
      <c r="C364" s="980"/>
      <c r="D364" s="164" t="s">
        <v>1047</v>
      </c>
      <c r="E364" s="862">
        <v>4</v>
      </c>
      <c r="F364" s="63">
        <v>4</v>
      </c>
      <c r="G364" s="304">
        <v>100</v>
      </c>
      <c r="H364" s="978"/>
      <c r="I364" s="959"/>
      <c r="J364" s="959"/>
    </row>
    <row r="365" spans="1:10" ht="18.75" customHeight="1" x14ac:dyDescent="0.2">
      <c r="A365" s="43">
        <v>4</v>
      </c>
      <c r="B365" s="485" t="s">
        <v>1048</v>
      </c>
      <c r="C365" s="183" t="s">
        <v>1046</v>
      </c>
      <c r="D365" s="164" t="s">
        <v>1047</v>
      </c>
      <c r="E365" s="63">
        <v>9</v>
      </c>
      <c r="F365" s="636">
        <v>9</v>
      </c>
      <c r="G365" s="304">
        <v>100</v>
      </c>
      <c r="H365" s="845">
        <v>487882</v>
      </c>
      <c r="I365" s="847">
        <v>474696.41</v>
      </c>
      <c r="J365" s="847">
        <f t="shared" si="19"/>
        <v>97.297381334011092</v>
      </c>
    </row>
    <row r="366" spans="1:10" ht="15" customHeight="1" x14ac:dyDescent="0.2">
      <c r="A366" s="955">
        <v>5</v>
      </c>
      <c r="B366" s="981" t="s">
        <v>1234</v>
      </c>
      <c r="C366" s="980" t="s">
        <v>628</v>
      </c>
      <c r="D366" s="164" t="s">
        <v>171</v>
      </c>
      <c r="E366" s="63">
        <v>6</v>
      </c>
      <c r="F366" s="63">
        <v>6</v>
      </c>
      <c r="G366" s="304">
        <v>100</v>
      </c>
      <c r="H366" s="978">
        <f>2124312+623871</f>
        <v>2748183</v>
      </c>
      <c r="I366" s="958">
        <f>597574.06+2101731.05</f>
        <v>2699305.11</v>
      </c>
      <c r="J366" s="958">
        <f t="shared" si="19"/>
        <v>98.221447043373743</v>
      </c>
    </row>
    <row r="367" spans="1:10" ht="16.5" customHeight="1" x14ac:dyDescent="0.2">
      <c r="A367" s="955"/>
      <c r="B367" s="981"/>
      <c r="C367" s="980"/>
      <c r="D367" s="164" t="s">
        <v>1047</v>
      </c>
      <c r="E367" s="63">
        <v>4</v>
      </c>
      <c r="F367" s="63">
        <v>4</v>
      </c>
      <c r="G367" s="304">
        <v>100</v>
      </c>
      <c r="H367" s="978"/>
      <c r="I367" s="959"/>
      <c r="J367" s="959"/>
    </row>
    <row r="368" spans="1:10" ht="18.75" customHeight="1" x14ac:dyDescent="0.2">
      <c r="A368" s="955">
        <v>6</v>
      </c>
      <c r="B368" s="979" t="s">
        <v>1236</v>
      </c>
      <c r="C368" s="980" t="s">
        <v>1049</v>
      </c>
      <c r="D368" s="164" t="s">
        <v>171</v>
      </c>
      <c r="E368" s="63">
        <v>2</v>
      </c>
      <c r="F368" s="63">
        <v>2</v>
      </c>
      <c r="G368" s="304">
        <v>100</v>
      </c>
      <c r="H368" s="978">
        <v>616388</v>
      </c>
      <c r="I368" s="958">
        <v>520845.67</v>
      </c>
      <c r="J368" s="958">
        <f t="shared" si="19"/>
        <v>84.499644704309617</v>
      </c>
    </row>
    <row r="369" spans="1:10" ht="14.25" customHeight="1" x14ac:dyDescent="0.2">
      <c r="A369" s="955"/>
      <c r="B369" s="979"/>
      <c r="C369" s="980"/>
      <c r="D369" s="164" t="s">
        <v>1047</v>
      </c>
      <c r="E369" s="63">
        <v>8</v>
      </c>
      <c r="F369" s="63">
        <v>8</v>
      </c>
      <c r="G369" s="304">
        <v>100</v>
      </c>
      <c r="H369" s="978"/>
      <c r="I369" s="959"/>
      <c r="J369" s="959"/>
    </row>
    <row r="370" spans="1:10" ht="38.25" x14ac:dyDescent="0.2">
      <c r="A370" s="43">
        <v>7</v>
      </c>
      <c r="B370" s="604" t="s">
        <v>1235</v>
      </c>
      <c r="C370" s="183" t="s">
        <v>1049</v>
      </c>
      <c r="D370" s="164" t="s">
        <v>1272</v>
      </c>
      <c r="E370" s="63">
        <v>1</v>
      </c>
      <c r="F370" s="636">
        <v>1</v>
      </c>
      <c r="G370" s="304">
        <v>100</v>
      </c>
      <c r="H370" s="845">
        <f>991275+780</f>
        <v>992055</v>
      </c>
      <c r="I370" s="847">
        <v>922052.96</v>
      </c>
      <c r="J370" s="847">
        <f t="shared" si="19"/>
        <v>92.943733966362757</v>
      </c>
    </row>
    <row r="371" spans="1:10" ht="51" customHeight="1" x14ac:dyDescent="0.2">
      <c r="A371" s="43">
        <v>8</v>
      </c>
      <c r="B371" s="19" t="s">
        <v>1445</v>
      </c>
      <c r="C371" s="183" t="s">
        <v>628</v>
      </c>
      <c r="D371" s="183" t="s">
        <v>1446</v>
      </c>
      <c r="E371" s="63">
        <v>1</v>
      </c>
      <c r="F371" s="636">
        <v>1</v>
      </c>
      <c r="G371" s="304">
        <v>100</v>
      </c>
      <c r="H371" s="845">
        <v>7787029</v>
      </c>
      <c r="I371" s="847">
        <v>16471.169999999998</v>
      </c>
      <c r="J371" s="527">
        <f t="shared" ref="J371:J376" si="20">+I371/H371*100</f>
        <v>0.2115205940545489</v>
      </c>
    </row>
    <row r="372" spans="1:10" ht="51" x14ac:dyDescent="0.2">
      <c r="A372" s="43">
        <v>9</v>
      </c>
      <c r="B372" s="576" t="s">
        <v>2009</v>
      </c>
      <c r="C372" s="687" t="s">
        <v>40</v>
      </c>
      <c r="D372" s="684"/>
      <c r="E372" s="63"/>
      <c r="F372" s="63"/>
      <c r="G372" s="63"/>
      <c r="H372" s="615">
        <f>214493+1542529</f>
        <v>1757022</v>
      </c>
      <c r="I372" s="863">
        <v>0</v>
      </c>
      <c r="J372" s="527">
        <f t="shared" si="20"/>
        <v>0</v>
      </c>
    </row>
    <row r="373" spans="1:10" ht="35.25" customHeight="1" x14ac:dyDescent="0.2">
      <c r="A373" s="43">
        <v>10</v>
      </c>
      <c r="B373" s="604" t="s">
        <v>1520</v>
      </c>
      <c r="C373" s="296" t="s">
        <v>40</v>
      </c>
      <c r="D373" s="183" t="s">
        <v>1446</v>
      </c>
      <c r="E373" s="845">
        <v>1</v>
      </c>
      <c r="F373" s="390"/>
      <c r="G373" s="390"/>
      <c r="H373" s="845">
        <v>84464</v>
      </c>
      <c r="I373" s="847">
        <v>11300</v>
      </c>
      <c r="J373" s="527">
        <f t="shared" si="20"/>
        <v>13.378480772873649</v>
      </c>
    </row>
    <row r="374" spans="1:10" ht="27.75" customHeight="1" x14ac:dyDescent="0.2">
      <c r="A374" s="43">
        <v>11</v>
      </c>
      <c r="B374" s="576" t="s">
        <v>1566</v>
      </c>
      <c r="C374" s="296" t="s">
        <v>628</v>
      </c>
      <c r="D374" s="183" t="s">
        <v>1446</v>
      </c>
      <c r="E374" s="845">
        <v>1</v>
      </c>
      <c r="F374" s="390">
        <v>0.8</v>
      </c>
      <c r="G374" s="304">
        <v>100</v>
      </c>
      <c r="H374" s="845">
        <v>56351</v>
      </c>
      <c r="I374" s="847">
        <v>45778.75</v>
      </c>
      <c r="J374" s="527">
        <f t="shared" si="20"/>
        <v>81.238576067860379</v>
      </c>
    </row>
    <row r="375" spans="1:10" ht="24.75" customHeight="1" x14ac:dyDescent="0.2">
      <c r="A375" s="43">
        <v>12</v>
      </c>
      <c r="B375" s="19" t="s">
        <v>1567</v>
      </c>
      <c r="C375" s="183" t="s">
        <v>626</v>
      </c>
      <c r="D375" s="183" t="s">
        <v>1446</v>
      </c>
      <c r="E375" s="845">
        <v>1</v>
      </c>
      <c r="F375" s="63">
        <v>1</v>
      </c>
      <c r="G375" s="304">
        <v>100</v>
      </c>
      <c r="H375" s="845">
        <v>110661</v>
      </c>
      <c r="I375" s="847">
        <v>110661</v>
      </c>
      <c r="J375" s="527">
        <f t="shared" si="20"/>
        <v>100</v>
      </c>
    </row>
    <row r="376" spans="1:10" ht="25.5" x14ac:dyDescent="0.2">
      <c r="A376" s="43">
        <v>13</v>
      </c>
      <c r="B376" s="604" t="s">
        <v>1643</v>
      </c>
      <c r="C376" s="183" t="s">
        <v>630</v>
      </c>
      <c r="D376" s="183" t="s">
        <v>2292</v>
      </c>
      <c r="E376" s="63">
        <v>1</v>
      </c>
      <c r="F376" s="63">
        <v>1</v>
      </c>
      <c r="G376" s="304">
        <v>100</v>
      </c>
      <c r="H376" s="845">
        <v>133159</v>
      </c>
      <c r="I376" s="847">
        <v>104811.02</v>
      </c>
      <c r="J376" s="527">
        <f t="shared" si="20"/>
        <v>78.711179867676989</v>
      </c>
    </row>
    <row r="377" spans="1:10" x14ac:dyDescent="0.2">
      <c r="H377" s="65"/>
      <c r="I377" s="65"/>
      <c r="J377" s="65"/>
    </row>
    <row r="378" spans="1:10" x14ac:dyDescent="0.2">
      <c r="H378" s="65"/>
      <c r="I378" s="65"/>
      <c r="J378" s="65"/>
    </row>
    <row r="379" spans="1:10" x14ac:dyDescent="0.2">
      <c r="H379" s="65"/>
      <c r="I379" s="65"/>
      <c r="J379" s="65"/>
    </row>
    <row r="380" spans="1:10" x14ac:dyDescent="0.2">
      <c r="H380" s="65"/>
      <c r="I380" s="65"/>
      <c r="J380" s="65"/>
    </row>
    <row r="381" spans="1:10" x14ac:dyDescent="0.2">
      <c r="H381" s="65"/>
      <c r="I381" s="65"/>
      <c r="J381" s="65"/>
    </row>
    <row r="382" spans="1:10" x14ac:dyDescent="0.2">
      <c r="H382" s="65"/>
      <c r="I382" s="65"/>
      <c r="J382" s="65"/>
    </row>
    <row r="383" spans="1:10" x14ac:dyDescent="0.2">
      <c r="H383" s="65"/>
      <c r="I383" s="65"/>
      <c r="J383" s="65"/>
    </row>
    <row r="384" spans="1:10" x14ac:dyDescent="0.2">
      <c r="H384" s="65"/>
      <c r="I384" s="65"/>
      <c r="J384" s="65"/>
    </row>
    <row r="385" spans="8:10" x14ac:dyDescent="0.2">
      <c r="H385" s="65"/>
      <c r="I385" s="65"/>
      <c r="J385" s="65"/>
    </row>
    <row r="386" spans="8:10" x14ac:dyDescent="0.2">
      <c r="H386" s="65"/>
      <c r="I386" s="65"/>
      <c r="J386" s="65"/>
    </row>
    <row r="387" spans="8:10" x14ac:dyDescent="0.2">
      <c r="H387" s="65"/>
      <c r="I387" s="65"/>
      <c r="J387" s="65"/>
    </row>
    <row r="388" spans="8:10" x14ac:dyDescent="0.2">
      <c r="H388" s="65"/>
      <c r="I388" s="65"/>
      <c r="J388" s="65"/>
    </row>
    <row r="389" spans="8:10" x14ac:dyDescent="0.2">
      <c r="H389" s="65"/>
      <c r="I389" s="65"/>
      <c r="J389" s="65"/>
    </row>
    <row r="390" spans="8:10" x14ac:dyDescent="0.2">
      <c r="H390" s="65"/>
      <c r="I390" s="65"/>
      <c r="J390" s="65"/>
    </row>
    <row r="391" spans="8:10" x14ac:dyDescent="0.2">
      <c r="H391" s="65"/>
      <c r="I391" s="65"/>
      <c r="J391" s="65"/>
    </row>
    <row r="392" spans="8:10" x14ac:dyDescent="0.2">
      <c r="H392" s="65"/>
      <c r="I392" s="65"/>
      <c r="J392" s="65"/>
    </row>
    <row r="393" spans="8:10" x14ac:dyDescent="0.2">
      <c r="H393" s="65"/>
      <c r="I393" s="65"/>
      <c r="J393" s="65"/>
    </row>
    <row r="394" spans="8:10" x14ac:dyDescent="0.2">
      <c r="H394" s="65"/>
      <c r="I394" s="65"/>
      <c r="J394" s="65"/>
    </row>
    <row r="395" spans="8:10" x14ac:dyDescent="0.2">
      <c r="H395" s="65"/>
      <c r="I395" s="65"/>
      <c r="J395" s="65"/>
    </row>
    <row r="396" spans="8:10" x14ac:dyDescent="0.2">
      <c r="H396" s="65"/>
      <c r="I396" s="65"/>
      <c r="J396" s="65"/>
    </row>
    <row r="397" spans="8:10" x14ac:dyDescent="0.2">
      <c r="H397" s="65"/>
      <c r="I397" s="65"/>
      <c r="J397" s="65"/>
    </row>
    <row r="398" spans="8:10" x14ac:dyDescent="0.2">
      <c r="H398" s="65"/>
      <c r="I398" s="65"/>
      <c r="J398" s="65"/>
    </row>
    <row r="399" spans="8:10" x14ac:dyDescent="0.2">
      <c r="H399" s="65"/>
      <c r="I399" s="65"/>
      <c r="J399" s="65"/>
    </row>
    <row r="400" spans="8:10" x14ac:dyDescent="0.2">
      <c r="H400" s="65"/>
      <c r="I400" s="65"/>
      <c r="J400" s="65"/>
    </row>
    <row r="401" spans="8:10" x14ac:dyDescent="0.2">
      <c r="H401" s="65"/>
      <c r="I401" s="65"/>
      <c r="J401" s="65"/>
    </row>
    <row r="402" spans="8:10" x14ac:dyDescent="0.2">
      <c r="H402" s="65"/>
      <c r="I402" s="65"/>
      <c r="J402" s="65"/>
    </row>
    <row r="403" spans="8:10" x14ac:dyDescent="0.2">
      <c r="H403" s="65"/>
      <c r="I403" s="65"/>
      <c r="J403" s="65"/>
    </row>
    <row r="404" spans="8:10" x14ac:dyDescent="0.2">
      <c r="H404" s="65"/>
      <c r="I404" s="65"/>
      <c r="J404" s="65"/>
    </row>
    <row r="405" spans="8:10" x14ac:dyDescent="0.2">
      <c r="H405" s="65"/>
      <c r="I405" s="65"/>
      <c r="J405" s="65"/>
    </row>
    <row r="406" spans="8:10" x14ac:dyDescent="0.2">
      <c r="H406" s="65"/>
      <c r="I406" s="65"/>
      <c r="J406" s="65"/>
    </row>
    <row r="407" spans="8:10" x14ac:dyDescent="0.2">
      <c r="H407" s="65"/>
      <c r="I407" s="65"/>
      <c r="J407" s="65"/>
    </row>
    <row r="408" spans="8:10" x14ac:dyDescent="0.2">
      <c r="H408" s="65"/>
      <c r="I408" s="65"/>
      <c r="J408" s="65"/>
    </row>
    <row r="409" spans="8:10" x14ac:dyDescent="0.2">
      <c r="H409" s="65"/>
      <c r="I409" s="65"/>
      <c r="J409" s="65"/>
    </row>
    <row r="410" spans="8:10" x14ac:dyDescent="0.2">
      <c r="H410" s="65"/>
      <c r="I410" s="65"/>
      <c r="J410" s="65"/>
    </row>
    <row r="411" spans="8:10" x14ac:dyDescent="0.2">
      <c r="H411" s="65"/>
      <c r="I411" s="65"/>
      <c r="J411" s="65"/>
    </row>
    <row r="412" spans="8:10" x14ac:dyDescent="0.2">
      <c r="H412" s="65"/>
      <c r="I412" s="65"/>
      <c r="J412" s="65"/>
    </row>
    <row r="413" spans="8:10" x14ac:dyDescent="0.2">
      <c r="H413" s="65"/>
      <c r="I413" s="65"/>
      <c r="J413" s="65"/>
    </row>
    <row r="414" spans="8:10" x14ac:dyDescent="0.2">
      <c r="H414" s="65"/>
      <c r="I414" s="65"/>
      <c r="J414" s="65"/>
    </row>
    <row r="415" spans="8:10" x14ac:dyDescent="0.2">
      <c r="H415" s="65"/>
      <c r="I415" s="65"/>
      <c r="J415" s="65"/>
    </row>
    <row r="416" spans="8:10" x14ac:dyDescent="0.2">
      <c r="H416" s="65"/>
      <c r="I416" s="65"/>
      <c r="J416" s="65"/>
    </row>
    <row r="417" spans="8:10" x14ac:dyDescent="0.2">
      <c r="H417" s="65"/>
      <c r="I417" s="65"/>
      <c r="J417" s="65"/>
    </row>
    <row r="418" spans="8:10" x14ac:dyDescent="0.2">
      <c r="H418" s="65"/>
      <c r="I418" s="65"/>
      <c r="J418" s="65"/>
    </row>
    <row r="419" spans="8:10" x14ac:dyDescent="0.2">
      <c r="H419" s="65"/>
      <c r="I419" s="65"/>
      <c r="J419" s="65"/>
    </row>
    <row r="420" spans="8:10" x14ac:dyDescent="0.2">
      <c r="H420" s="65"/>
      <c r="I420" s="65"/>
      <c r="J420" s="65"/>
    </row>
    <row r="421" spans="8:10" x14ac:dyDescent="0.2">
      <c r="H421" s="65"/>
      <c r="I421" s="65"/>
      <c r="J421" s="65"/>
    </row>
    <row r="422" spans="8:10" x14ac:dyDescent="0.2">
      <c r="H422" s="65"/>
      <c r="I422" s="65"/>
      <c r="J422" s="65"/>
    </row>
    <row r="423" spans="8:10" x14ac:dyDescent="0.2">
      <c r="H423" s="65"/>
      <c r="I423" s="65"/>
      <c r="J423" s="65"/>
    </row>
    <row r="424" spans="8:10" x14ac:dyDescent="0.2">
      <c r="H424" s="65"/>
      <c r="I424" s="65"/>
      <c r="J424" s="65"/>
    </row>
    <row r="425" spans="8:10" x14ac:dyDescent="0.2">
      <c r="H425" s="65"/>
      <c r="I425" s="65"/>
      <c r="J425" s="65"/>
    </row>
    <row r="426" spans="8:10" x14ac:dyDescent="0.2">
      <c r="H426" s="65"/>
      <c r="I426" s="65"/>
      <c r="J426" s="65"/>
    </row>
    <row r="427" spans="8:10" x14ac:dyDescent="0.2">
      <c r="H427" s="65"/>
      <c r="I427" s="65"/>
      <c r="J427" s="65"/>
    </row>
    <row r="428" spans="8:10" x14ac:dyDescent="0.2">
      <c r="H428" s="65"/>
      <c r="I428" s="65"/>
      <c r="J428" s="65"/>
    </row>
    <row r="429" spans="8:10" x14ac:dyDescent="0.2">
      <c r="H429" s="65"/>
      <c r="I429" s="65"/>
      <c r="J429" s="65"/>
    </row>
    <row r="430" spans="8:10" x14ac:dyDescent="0.2">
      <c r="H430" s="65"/>
      <c r="I430" s="65"/>
      <c r="J430" s="65"/>
    </row>
    <row r="431" spans="8:10" x14ac:dyDescent="0.2">
      <c r="H431" s="65"/>
      <c r="I431" s="65"/>
      <c r="J431" s="65"/>
    </row>
    <row r="432" spans="8:10" x14ac:dyDescent="0.2">
      <c r="H432" s="65"/>
      <c r="I432" s="65"/>
      <c r="J432" s="65"/>
    </row>
    <row r="433" spans="8:10" x14ac:dyDescent="0.2">
      <c r="H433" s="65"/>
      <c r="I433" s="65"/>
      <c r="J433" s="65"/>
    </row>
    <row r="434" spans="8:10" x14ac:dyDescent="0.2">
      <c r="H434" s="65"/>
      <c r="I434" s="65"/>
      <c r="J434" s="65"/>
    </row>
    <row r="435" spans="8:10" x14ac:dyDescent="0.2">
      <c r="H435" s="65"/>
      <c r="I435" s="65"/>
      <c r="J435" s="65"/>
    </row>
    <row r="436" spans="8:10" x14ac:dyDescent="0.2">
      <c r="H436" s="65"/>
      <c r="I436" s="65"/>
      <c r="J436" s="65"/>
    </row>
    <row r="437" spans="8:10" x14ac:dyDescent="0.2">
      <c r="H437" s="65"/>
      <c r="I437" s="65"/>
      <c r="J437" s="65"/>
    </row>
    <row r="438" spans="8:10" x14ac:dyDescent="0.2">
      <c r="H438" s="65"/>
      <c r="I438" s="65"/>
      <c r="J438" s="65"/>
    </row>
    <row r="439" spans="8:10" x14ac:dyDescent="0.2">
      <c r="H439" s="65"/>
      <c r="I439" s="65"/>
      <c r="J439" s="65"/>
    </row>
    <row r="440" spans="8:10" x14ac:dyDescent="0.2">
      <c r="H440" s="65"/>
      <c r="I440" s="65"/>
      <c r="J440" s="65"/>
    </row>
    <row r="441" spans="8:10" x14ac:dyDescent="0.2">
      <c r="H441" s="65"/>
      <c r="I441" s="65"/>
      <c r="J441" s="65"/>
    </row>
    <row r="442" spans="8:10" x14ac:dyDescent="0.2">
      <c r="H442" s="65"/>
      <c r="I442" s="65"/>
      <c r="J442" s="65"/>
    </row>
    <row r="443" spans="8:10" x14ac:dyDescent="0.2">
      <c r="H443" s="65"/>
      <c r="I443" s="65"/>
      <c r="J443" s="65"/>
    </row>
    <row r="444" spans="8:10" x14ac:dyDescent="0.2">
      <c r="H444" s="65"/>
      <c r="I444" s="65"/>
      <c r="J444" s="65"/>
    </row>
    <row r="445" spans="8:10" x14ac:dyDescent="0.2">
      <c r="H445" s="65"/>
      <c r="I445" s="65"/>
      <c r="J445" s="65"/>
    </row>
    <row r="446" spans="8:10" x14ac:dyDescent="0.2">
      <c r="H446" s="65"/>
      <c r="I446" s="65"/>
      <c r="J446" s="65"/>
    </row>
    <row r="447" spans="8:10" x14ac:dyDescent="0.2">
      <c r="H447" s="65"/>
      <c r="I447" s="65"/>
      <c r="J447" s="65"/>
    </row>
    <row r="448" spans="8:10" x14ac:dyDescent="0.2">
      <c r="H448" s="65"/>
      <c r="I448" s="65"/>
      <c r="J448" s="65"/>
    </row>
    <row r="449" spans="8:10" x14ac:dyDescent="0.2">
      <c r="H449" s="65"/>
      <c r="I449" s="65"/>
      <c r="J449" s="65"/>
    </row>
    <row r="450" spans="8:10" x14ac:dyDescent="0.2">
      <c r="H450" s="65"/>
      <c r="I450" s="65"/>
      <c r="J450" s="65"/>
    </row>
    <row r="451" spans="8:10" x14ac:dyDescent="0.2">
      <c r="H451" s="65"/>
      <c r="I451" s="65"/>
      <c r="J451" s="65"/>
    </row>
    <row r="452" spans="8:10" x14ac:dyDescent="0.2">
      <c r="H452" s="65"/>
      <c r="I452" s="65"/>
      <c r="J452" s="65"/>
    </row>
    <row r="453" spans="8:10" x14ac:dyDescent="0.2">
      <c r="H453" s="65"/>
      <c r="I453" s="65"/>
      <c r="J453" s="65"/>
    </row>
    <row r="454" spans="8:10" x14ac:dyDescent="0.2">
      <c r="H454" s="65"/>
      <c r="I454" s="65"/>
      <c r="J454" s="65"/>
    </row>
    <row r="455" spans="8:10" x14ac:dyDescent="0.2">
      <c r="H455" s="65"/>
      <c r="I455" s="65"/>
      <c r="J455" s="65"/>
    </row>
    <row r="456" spans="8:10" x14ac:dyDescent="0.2">
      <c r="H456" s="65"/>
      <c r="I456" s="65"/>
      <c r="J456" s="65"/>
    </row>
    <row r="457" spans="8:10" x14ac:dyDescent="0.2">
      <c r="H457" s="65"/>
      <c r="I457" s="65"/>
      <c r="J457" s="65"/>
    </row>
    <row r="458" spans="8:10" x14ac:dyDescent="0.2">
      <c r="H458" s="65"/>
      <c r="I458" s="65"/>
      <c r="J458" s="65"/>
    </row>
    <row r="459" spans="8:10" x14ac:dyDescent="0.2">
      <c r="H459" s="65"/>
      <c r="I459" s="65"/>
      <c r="J459" s="65"/>
    </row>
    <row r="460" spans="8:10" x14ac:dyDescent="0.2">
      <c r="H460" s="65"/>
      <c r="I460" s="65"/>
      <c r="J460" s="65"/>
    </row>
    <row r="461" spans="8:10" x14ac:dyDescent="0.2">
      <c r="H461" s="65"/>
      <c r="I461" s="65"/>
      <c r="J461" s="65"/>
    </row>
    <row r="462" spans="8:10" x14ac:dyDescent="0.2">
      <c r="H462" s="65"/>
      <c r="I462" s="65"/>
      <c r="J462" s="65"/>
    </row>
    <row r="463" spans="8:10" x14ac:dyDescent="0.2">
      <c r="H463" s="65"/>
      <c r="I463" s="65"/>
      <c r="J463" s="65"/>
    </row>
    <row r="464" spans="8:10" x14ac:dyDescent="0.2">
      <c r="H464" s="65"/>
      <c r="I464" s="65"/>
      <c r="J464" s="65"/>
    </row>
    <row r="465" spans="8:10" x14ac:dyDescent="0.2">
      <c r="H465" s="65"/>
      <c r="I465" s="65"/>
      <c r="J465" s="65"/>
    </row>
    <row r="466" spans="8:10" x14ac:dyDescent="0.2">
      <c r="H466" s="65"/>
      <c r="I466" s="65"/>
      <c r="J466" s="65"/>
    </row>
    <row r="467" spans="8:10" x14ac:dyDescent="0.2">
      <c r="H467" s="65"/>
      <c r="I467" s="65"/>
      <c r="J467" s="65"/>
    </row>
    <row r="468" spans="8:10" x14ac:dyDescent="0.2">
      <c r="H468" s="65"/>
      <c r="I468" s="65"/>
      <c r="J468" s="65"/>
    </row>
    <row r="469" spans="8:10" x14ac:dyDescent="0.2">
      <c r="H469" s="65"/>
      <c r="I469" s="65"/>
      <c r="J469" s="65"/>
    </row>
    <row r="470" spans="8:10" x14ac:dyDescent="0.2">
      <c r="H470" s="65"/>
      <c r="I470" s="65"/>
      <c r="J470" s="65"/>
    </row>
    <row r="471" spans="8:10" x14ac:dyDescent="0.2">
      <c r="H471" s="65"/>
      <c r="I471" s="65"/>
      <c r="J471" s="65"/>
    </row>
    <row r="472" spans="8:10" x14ac:dyDescent="0.2">
      <c r="H472" s="65"/>
      <c r="I472" s="65"/>
      <c r="J472" s="65"/>
    </row>
    <row r="473" spans="8:10" x14ac:dyDescent="0.2">
      <c r="H473" s="65"/>
      <c r="I473" s="65"/>
      <c r="J473" s="65"/>
    </row>
    <row r="474" spans="8:10" x14ac:dyDescent="0.2">
      <c r="H474" s="65"/>
      <c r="I474" s="65"/>
      <c r="J474" s="65"/>
    </row>
    <row r="475" spans="8:10" x14ac:dyDescent="0.2">
      <c r="H475" s="65"/>
      <c r="I475" s="65"/>
      <c r="J475" s="65"/>
    </row>
    <row r="476" spans="8:10" x14ac:dyDescent="0.2">
      <c r="H476" s="65"/>
      <c r="I476" s="65"/>
      <c r="J476" s="65"/>
    </row>
    <row r="477" spans="8:10" x14ac:dyDescent="0.2">
      <c r="H477" s="65"/>
      <c r="I477" s="65"/>
      <c r="J477" s="65"/>
    </row>
    <row r="478" spans="8:10" x14ac:dyDescent="0.2">
      <c r="H478" s="65"/>
      <c r="I478" s="65"/>
      <c r="J478" s="65"/>
    </row>
    <row r="479" spans="8:10" x14ac:dyDescent="0.2">
      <c r="H479" s="65"/>
      <c r="I479" s="65"/>
      <c r="J479" s="65"/>
    </row>
    <row r="480" spans="8:10" x14ac:dyDescent="0.2">
      <c r="H480" s="65"/>
      <c r="I480" s="65"/>
      <c r="J480" s="65"/>
    </row>
    <row r="481" spans="8:10" x14ac:dyDescent="0.2">
      <c r="H481" s="65"/>
      <c r="I481" s="65"/>
      <c r="J481" s="65"/>
    </row>
    <row r="482" spans="8:10" x14ac:dyDescent="0.2">
      <c r="H482" s="65"/>
      <c r="I482" s="65"/>
      <c r="J482" s="65"/>
    </row>
    <row r="483" spans="8:10" x14ac:dyDescent="0.2">
      <c r="H483" s="65"/>
      <c r="I483" s="65"/>
      <c r="J483" s="65"/>
    </row>
    <row r="484" spans="8:10" x14ac:dyDescent="0.2">
      <c r="H484" s="65"/>
      <c r="I484" s="65"/>
      <c r="J484" s="65"/>
    </row>
    <row r="485" spans="8:10" x14ac:dyDescent="0.2">
      <c r="H485" s="65"/>
      <c r="I485" s="65"/>
      <c r="J485" s="65"/>
    </row>
    <row r="486" spans="8:10" x14ac:dyDescent="0.2">
      <c r="H486" s="65"/>
      <c r="I486" s="65"/>
      <c r="J486" s="65"/>
    </row>
    <row r="487" spans="8:10" x14ac:dyDescent="0.2">
      <c r="H487" s="65"/>
      <c r="I487" s="65"/>
      <c r="J487" s="65"/>
    </row>
    <row r="488" spans="8:10" x14ac:dyDescent="0.2">
      <c r="H488" s="65"/>
      <c r="I488" s="65"/>
      <c r="J488" s="65"/>
    </row>
    <row r="489" spans="8:10" x14ac:dyDescent="0.2">
      <c r="H489" s="65"/>
      <c r="I489" s="65"/>
      <c r="J489" s="65"/>
    </row>
    <row r="490" spans="8:10" x14ac:dyDescent="0.2">
      <c r="H490" s="65"/>
      <c r="I490" s="65"/>
      <c r="J490" s="65"/>
    </row>
    <row r="491" spans="8:10" x14ac:dyDescent="0.2">
      <c r="H491" s="65"/>
      <c r="I491" s="65"/>
      <c r="J491" s="65"/>
    </row>
    <row r="492" spans="8:10" x14ac:dyDescent="0.2">
      <c r="H492" s="65"/>
      <c r="I492" s="65"/>
      <c r="J492" s="65"/>
    </row>
    <row r="493" spans="8:10" x14ac:dyDescent="0.2">
      <c r="H493" s="65"/>
      <c r="I493" s="65"/>
      <c r="J493" s="65"/>
    </row>
    <row r="494" spans="8:10" x14ac:dyDescent="0.2">
      <c r="H494" s="65"/>
      <c r="I494" s="65"/>
      <c r="J494" s="65"/>
    </row>
    <row r="495" spans="8:10" x14ac:dyDescent="0.2">
      <c r="H495" s="65"/>
      <c r="I495" s="65"/>
      <c r="J495" s="65"/>
    </row>
    <row r="496" spans="8:10" x14ac:dyDescent="0.2">
      <c r="H496" s="65"/>
      <c r="I496" s="65"/>
      <c r="J496" s="65"/>
    </row>
    <row r="497" spans="8:10" x14ac:dyDescent="0.2">
      <c r="H497" s="65"/>
      <c r="I497" s="65"/>
      <c r="J497" s="65"/>
    </row>
    <row r="498" spans="8:10" x14ac:dyDescent="0.2">
      <c r="H498" s="65"/>
      <c r="I498" s="65"/>
      <c r="J498" s="65"/>
    </row>
    <row r="499" spans="8:10" x14ac:dyDescent="0.2">
      <c r="H499" s="65"/>
      <c r="I499" s="65"/>
      <c r="J499" s="65"/>
    </row>
    <row r="500" spans="8:10" x14ac:dyDescent="0.2">
      <c r="H500" s="65"/>
      <c r="I500" s="65"/>
      <c r="J500" s="65"/>
    </row>
    <row r="501" spans="8:10" x14ac:dyDescent="0.2">
      <c r="H501" s="65"/>
      <c r="I501" s="65"/>
      <c r="J501" s="65"/>
    </row>
    <row r="502" spans="8:10" x14ac:dyDescent="0.2">
      <c r="H502" s="65"/>
      <c r="I502" s="65"/>
      <c r="J502" s="65"/>
    </row>
    <row r="503" spans="8:10" x14ac:dyDescent="0.2">
      <c r="H503" s="65"/>
      <c r="I503" s="65"/>
      <c r="J503" s="65"/>
    </row>
    <row r="504" spans="8:10" x14ac:dyDescent="0.2">
      <c r="H504" s="65"/>
      <c r="I504" s="65"/>
      <c r="J504" s="65"/>
    </row>
    <row r="505" spans="8:10" x14ac:dyDescent="0.2">
      <c r="H505" s="65"/>
      <c r="I505" s="65"/>
      <c r="J505" s="65"/>
    </row>
    <row r="506" spans="8:10" x14ac:dyDescent="0.2">
      <c r="H506" s="65"/>
      <c r="I506" s="65"/>
      <c r="J506" s="65"/>
    </row>
    <row r="507" spans="8:10" x14ac:dyDescent="0.2">
      <c r="H507" s="65"/>
      <c r="I507" s="65"/>
      <c r="J507" s="65"/>
    </row>
    <row r="508" spans="8:10" x14ac:dyDescent="0.2">
      <c r="H508" s="65"/>
      <c r="I508" s="65"/>
      <c r="J508" s="65"/>
    </row>
    <row r="509" spans="8:10" x14ac:dyDescent="0.2">
      <c r="H509" s="65"/>
      <c r="I509" s="65"/>
      <c r="J509" s="65"/>
    </row>
    <row r="510" spans="8:10" x14ac:dyDescent="0.2">
      <c r="H510" s="65"/>
      <c r="I510" s="65"/>
      <c r="J510" s="65"/>
    </row>
    <row r="511" spans="8:10" x14ac:dyDescent="0.2">
      <c r="H511" s="65"/>
      <c r="I511" s="65"/>
      <c r="J511" s="65"/>
    </row>
    <row r="512" spans="8:10" x14ac:dyDescent="0.2">
      <c r="H512" s="65"/>
      <c r="I512" s="65"/>
      <c r="J512" s="65"/>
    </row>
    <row r="513" spans="8:10" x14ac:dyDescent="0.2">
      <c r="H513" s="65"/>
      <c r="I513" s="65"/>
      <c r="J513" s="65"/>
    </row>
    <row r="514" spans="8:10" x14ac:dyDescent="0.2">
      <c r="H514" s="65"/>
      <c r="I514" s="65"/>
      <c r="J514" s="65"/>
    </row>
    <row r="515" spans="8:10" x14ac:dyDescent="0.2">
      <c r="H515" s="65"/>
      <c r="I515" s="65"/>
      <c r="J515" s="65"/>
    </row>
    <row r="516" spans="8:10" x14ac:dyDescent="0.2">
      <c r="H516" s="65"/>
      <c r="I516" s="65"/>
      <c r="J516" s="65"/>
    </row>
    <row r="517" spans="8:10" x14ac:dyDescent="0.2">
      <c r="H517" s="65"/>
      <c r="I517" s="65"/>
      <c r="J517" s="65"/>
    </row>
    <row r="518" spans="8:10" x14ac:dyDescent="0.2">
      <c r="H518" s="65"/>
      <c r="I518" s="65"/>
      <c r="J518" s="65"/>
    </row>
    <row r="519" spans="8:10" x14ac:dyDescent="0.2">
      <c r="H519" s="65"/>
      <c r="I519" s="65"/>
      <c r="J519" s="65"/>
    </row>
    <row r="520" spans="8:10" x14ac:dyDescent="0.2">
      <c r="H520" s="65"/>
      <c r="I520" s="65"/>
      <c r="J520" s="65"/>
    </row>
    <row r="521" spans="8:10" x14ac:dyDescent="0.2">
      <c r="H521" s="65"/>
      <c r="I521" s="65"/>
      <c r="J521" s="65"/>
    </row>
    <row r="522" spans="8:10" x14ac:dyDescent="0.2">
      <c r="H522" s="65"/>
      <c r="I522" s="65"/>
      <c r="J522" s="65"/>
    </row>
    <row r="523" spans="8:10" x14ac:dyDescent="0.2">
      <c r="H523" s="65"/>
      <c r="I523" s="65"/>
      <c r="J523" s="65"/>
    </row>
    <row r="524" spans="8:10" x14ac:dyDescent="0.2">
      <c r="H524" s="65"/>
      <c r="I524" s="65"/>
      <c r="J524" s="65"/>
    </row>
    <row r="525" spans="8:10" x14ac:dyDescent="0.2">
      <c r="H525" s="65"/>
      <c r="I525" s="65"/>
      <c r="J525" s="65"/>
    </row>
    <row r="526" spans="8:10" x14ac:dyDescent="0.2">
      <c r="H526" s="65"/>
      <c r="I526" s="65"/>
      <c r="J526" s="65"/>
    </row>
    <row r="527" spans="8:10" x14ac:dyDescent="0.2">
      <c r="H527" s="65"/>
      <c r="I527" s="65"/>
      <c r="J527" s="65"/>
    </row>
    <row r="528" spans="8:10" x14ac:dyDescent="0.2">
      <c r="H528" s="65"/>
      <c r="I528" s="65"/>
      <c r="J528" s="65"/>
    </row>
    <row r="529" spans="8:10" x14ac:dyDescent="0.2">
      <c r="H529" s="65"/>
      <c r="I529" s="65"/>
      <c r="J529" s="65"/>
    </row>
    <row r="530" spans="8:10" x14ac:dyDescent="0.2">
      <c r="H530" s="65"/>
      <c r="I530" s="65"/>
      <c r="J530" s="65"/>
    </row>
    <row r="531" spans="8:10" x14ac:dyDescent="0.2">
      <c r="H531" s="65"/>
      <c r="I531" s="65"/>
      <c r="J531" s="65"/>
    </row>
    <row r="532" spans="8:10" x14ac:dyDescent="0.2">
      <c r="H532" s="65"/>
      <c r="I532" s="65"/>
      <c r="J532" s="65"/>
    </row>
    <row r="533" spans="8:10" x14ac:dyDescent="0.2">
      <c r="H533" s="65"/>
      <c r="I533" s="65"/>
      <c r="J533" s="65"/>
    </row>
    <row r="534" spans="8:10" x14ac:dyDescent="0.2">
      <c r="H534" s="65"/>
      <c r="I534" s="65"/>
      <c r="J534" s="65"/>
    </row>
    <row r="535" spans="8:10" x14ac:dyDescent="0.2">
      <c r="H535" s="65"/>
      <c r="I535" s="65"/>
      <c r="J535" s="65"/>
    </row>
    <row r="536" spans="8:10" x14ac:dyDescent="0.2">
      <c r="H536" s="65"/>
      <c r="I536" s="65"/>
      <c r="J536" s="65"/>
    </row>
    <row r="537" spans="8:10" x14ac:dyDescent="0.2">
      <c r="H537" s="65"/>
      <c r="I537" s="65"/>
      <c r="J537" s="65"/>
    </row>
    <row r="538" spans="8:10" x14ac:dyDescent="0.2">
      <c r="H538" s="65"/>
      <c r="I538" s="65"/>
      <c r="J538" s="65"/>
    </row>
    <row r="539" spans="8:10" x14ac:dyDescent="0.2">
      <c r="H539" s="65"/>
      <c r="I539" s="65"/>
      <c r="J539" s="65"/>
    </row>
    <row r="540" spans="8:10" x14ac:dyDescent="0.2">
      <c r="H540" s="65"/>
      <c r="I540" s="65"/>
      <c r="J540" s="65"/>
    </row>
    <row r="541" spans="8:10" x14ac:dyDescent="0.2">
      <c r="H541" s="65"/>
      <c r="I541" s="65"/>
      <c r="J541" s="65"/>
    </row>
    <row r="542" spans="8:10" x14ac:dyDescent="0.2">
      <c r="H542" s="65"/>
      <c r="I542" s="65"/>
      <c r="J542" s="65"/>
    </row>
    <row r="543" spans="8:10" x14ac:dyDescent="0.2">
      <c r="H543" s="65"/>
      <c r="I543" s="65"/>
      <c r="J543" s="65"/>
    </row>
    <row r="544" spans="8:10" x14ac:dyDescent="0.2">
      <c r="H544" s="65"/>
      <c r="I544" s="65"/>
      <c r="J544" s="65"/>
    </row>
    <row r="545" spans="8:10" x14ac:dyDescent="0.2">
      <c r="H545" s="65"/>
      <c r="I545" s="65"/>
      <c r="J545" s="65"/>
    </row>
    <row r="546" spans="8:10" x14ac:dyDescent="0.2">
      <c r="H546" s="65"/>
      <c r="I546" s="65"/>
      <c r="J546" s="65"/>
    </row>
    <row r="547" spans="8:10" x14ac:dyDescent="0.2">
      <c r="H547" s="65"/>
      <c r="I547" s="65"/>
      <c r="J547" s="65"/>
    </row>
    <row r="548" spans="8:10" x14ac:dyDescent="0.2">
      <c r="H548" s="65"/>
      <c r="I548" s="65"/>
      <c r="J548" s="65"/>
    </row>
    <row r="549" spans="8:10" x14ac:dyDescent="0.2">
      <c r="H549" s="65"/>
      <c r="I549" s="65"/>
      <c r="J549" s="65"/>
    </row>
    <row r="550" spans="8:10" x14ac:dyDescent="0.2">
      <c r="H550" s="65"/>
      <c r="I550" s="65"/>
      <c r="J550" s="65"/>
    </row>
    <row r="551" spans="8:10" x14ac:dyDescent="0.2">
      <c r="H551" s="65"/>
      <c r="I551" s="65"/>
      <c r="J551" s="65"/>
    </row>
    <row r="552" spans="8:10" x14ac:dyDescent="0.2">
      <c r="H552" s="65"/>
      <c r="I552" s="65"/>
      <c r="J552" s="65"/>
    </row>
    <row r="553" spans="8:10" x14ac:dyDescent="0.2">
      <c r="H553" s="65"/>
      <c r="I553" s="65"/>
      <c r="J553" s="65"/>
    </row>
    <row r="554" spans="8:10" x14ac:dyDescent="0.2">
      <c r="H554" s="65"/>
      <c r="I554" s="65"/>
      <c r="J554" s="65"/>
    </row>
    <row r="555" spans="8:10" x14ac:dyDescent="0.2">
      <c r="H555" s="65"/>
      <c r="I555" s="65"/>
      <c r="J555" s="65"/>
    </row>
    <row r="556" spans="8:10" x14ac:dyDescent="0.2">
      <c r="H556" s="65"/>
      <c r="I556" s="65"/>
      <c r="J556" s="65"/>
    </row>
    <row r="557" spans="8:10" x14ac:dyDescent="0.2">
      <c r="H557" s="65"/>
      <c r="I557" s="65"/>
      <c r="J557" s="65"/>
    </row>
    <row r="558" spans="8:10" x14ac:dyDescent="0.2">
      <c r="H558" s="65"/>
      <c r="I558" s="65"/>
      <c r="J558" s="65"/>
    </row>
    <row r="559" spans="8:10" x14ac:dyDescent="0.2">
      <c r="H559" s="65"/>
      <c r="I559" s="65"/>
      <c r="J559" s="65"/>
    </row>
    <row r="560" spans="8:10" x14ac:dyDescent="0.2">
      <c r="H560" s="65"/>
      <c r="I560" s="65"/>
      <c r="J560" s="65"/>
    </row>
    <row r="561" spans="8:10" x14ac:dyDescent="0.2">
      <c r="H561" s="65"/>
      <c r="I561" s="65"/>
      <c r="J561" s="65"/>
    </row>
    <row r="562" spans="8:10" x14ac:dyDescent="0.2">
      <c r="H562" s="65"/>
      <c r="I562" s="65"/>
      <c r="J562" s="65"/>
    </row>
    <row r="563" spans="8:10" x14ac:dyDescent="0.2">
      <c r="H563" s="65"/>
      <c r="I563" s="65"/>
      <c r="J563" s="65"/>
    </row>
    <row r="564" spans="8:10" x14ac:dyDescent="0.2">
      <c r="H564" s="65"/>
      <c r="I564" s="65"/>
      <c r="J564" s="65"/>
    </row>
    <row r="565" spans="8:10" x14ac:dyDescent="0.2">
      <c r="H565" s="65"/>
      <c r="I565" s="65"/>
      <c r="J565" s="65"/>
    </row>
    <row r="566" spans="8:10" x14ac:dyDescent="0.2">
      <c r="H566" s="65"/>
      <c r="I566" s="65"/>
      <c r="J566" s="65"/>
    </row>
    <row r="567" spans="8:10" x14ac:dyDescent="0.2">
      <c r="H567" s="65"/>
      <c r="I567" s="65"/>
      <c r="J567" s="65"/>
    </row>
    <row r="568" spans="8:10" x14ac:dyDescent="0.2">
      <c r="H568" s="65"/>
      <c r="I568" s="65"/>
      <c r="J568" s="65"/>
    </row>
    <row r="569" spans="8:10" x14ac:dyDescent="0.2">
      <c r="H569" s="65"/>
      <c r="I569" s="65"/>
      <c r="J569" s="65"/>
    </row>
    <row r="570" spans="8:10" x14ac:dyDescent="0.2">
      <c r="H570" s="65"/>
      <c r="I570" s="65"/>
      <c r="J570" s="65"/>
    </row>
    <row r="571" spans="8:10" x14ac:dyDescent="0.2">
      <c r="H571" s="65"/>
      <c r="I571" s="65"/>
      <c r="J571" s="65"/>
    </row>
    <row r="572" spans="8:10" x14ac:dyDescent="0.2">
      <c r="H572" s="65"/>
      <c r="I572" s="65"/>
      <c r="J572" s="65"/>
    </row>
    <row r="573" spans="8:10" x14ac:dyDescent="0.2">
      <c r="H573" s="65"/>
      <c r="I573" s="65"/>
      <c r="J573" s="65"/>
    </row>
    <row r="574" spans="8:10" x14ac:dyDescent="0.2">
      <c r="H574" s="65"/>
      <c r="I574" s="65"/>
      <c r="J574" s="65"/>
    </row>
    <row r="575" spans="8:10" x14ac:dyDescent="0.2">
      <c r="H575" s="65"/>
      <c r="I575" s="65"/>
      <c r="J575" s="65"/>
    </row>
    <row r="576" spans="8:10" x14ac:dyDescent="0.2">
      <c r="H576" s="65"/>
      <c r="I576" s="65"/>
      <c r="J576" s="65"/>
    </row>
    <row r="577" spans="8:10" x14ac:dyDescent="0.2">
      <c r="H577" s="65"/>
      <c r="I577" s="65"/>
      <c r="J577" s="65"/>
    </row>
    <row r="578" spans="8:10" x14ac:dyDescent="0.2">
      <c r="H578" s="65"/>
      <c r="I578" s="65"/>
      <c r="J578" s="65"/>
    </row>
    <row r="579" spans="8:10" x14ac:dyDescent="0.2">
      <c r="H579" s="65"/>
      <c r="I579" s="65"/>
      <c r="J579" s="65"/>
    </row>
    <row r="580" spans="8:10" x14ac:dyDescent="0.2">
      <c r="H580" s="65"/>
      <c r="I580" s="65"/>
      <c r="J580" s="65"/>
    </row>
    <row r="581" spans="8:10" x14ac:dyDescent="0.2">
      <c r="H581" s="65"/>
      <c r="I581" s="65"/>
      <c r="J581" s="65"/>
    </row>
    <row r="582" spans="8:10" x14ac:dyDescent="0.2">
      <c r="H582" s="65"/>
      <c r="I582" s="65"/>
      <c r="J582" s="65"/>
    </row>
    <row r="583" spans="8:10" x14ac:dyDescent="0.2">
      <c r="H583" s="65"/>
      <c r="I583" s="65"/>
      <c r="J583" s="65"/>
    </row>
    <row r="584" spans="8:10" x14ac:dyDescent="0.2">
      <c r="H584" s="65"/>
      <c r="I584" s="65"/>
      <c r="J584" s="65"/>
    </row>
    <row r="585" spans="8:10" x14ac:dyDescent="0.2">
      <c r="H585" s="65"/>
      <c r="I585" s="65"/>
      <c r="J585" s="65"/>
    </row>
    <row r="586" spans="8:10" x14ac:dyDescent="0.2">
      <c r="H586" s="65"/>
      <c r="I586" s="65"/>
      <c r="J586" s="65"/>
    </row>
    <row r="587" spans="8:10" x14ac:dyDescent="0.2">
      <c r="H587" s="65"/>
      <c r="I587" s="65"/>
      <c r="J587" s="65"/>
    </row>
    <row r="588" spans="8:10" x14ac:dyDescent="0.2">
      <c r="H588" s="65"/>
      <c r="I588" s="65"/>
      <c r="J588" s="65"/>
    </row>
    <row r="589" spans="8:10" x14ac:dyDescent="0.2">
      <c r="H589" s="65"/>
      <c r="I589" s="65"/>
      <c r="J589" s="65"/>
    </row>
    <row r="590" spans="8:10" x14ac:dyDescent="0.2">
      <c r="H590" s="65"/>
      <c r="I590" s="65"/>
      <c r="J590" s="65"/>
    </row>
    <row r="591" spans="8:10" x14ac:dyDescent="0.2">
      <c r="H591" s="65"/>
      <c r="I591" s="65"/>
      <c r="J591" s="65"/>
    </row>
    <row r="592" spans="8:10" x14ac:dyDescent="0.2">
      <c r="H592" s="65"/>
      <c r="I592" s="65"/>
      <c r="J592" s="65"/>
    </row>
    <row r="593" spans="8:10" x14ac:dyDescent="0.2">
      <c r="H593" s="65"/>
      <c r="I593" s="65"/>
      <c r="J593" s="65"/>
    </row>
    <row r="594" spans="8:10" x14ac:dyDescent="0.2">
      <c r="H594" s="65"/>
      <c r="I594" s="65"/>
      <c r="J594" s="65"/>
    </row>
    <row r="595" spans="8:10" x14ac:dyDescent="0.2">
      <c r="H595" s="65"/>
      <c r="I595" s="65"/>
      <c r="J595" s="65"/>
    </row>
    <row r="596" spans="8:10" x14ac:dyDescent="0.2">
      <c r="H596" s="65"/>
      <c r="I596" s="65"/>
      <c r="J596" s="65"/>
    </row>
    <row r="597" spans="8:10" x14ac:dyDescent="0.2">
      <c r="H597" s="65"/>
      <c r="I597" s="65"/>
      <c r="J597" s="65"/>
    </row>
    <row r="598" spans="8:10" x14ac:dyDescent="0.2">
      <c r="H598" s="65"/>
      <c r="I598" s="65"/>
      <c r="J598" s="65"/>
    </row>
    <row r="599" spans="8:10" x14ac:dyDescent="0.2">
      <c r="H599" s="65"/>
      <c r="I599" s="65"/>
      <c r="J599" s="65"/>
    </row>
    <row r="600" spans="8:10" x14ac:dyDescent="0.2">
      <c r="H600" s="65"/>
      <c r="I600" s="65"/>
      <c r="J600" s="65"/>
    </row>
    <row r="601" spans="8:10" x14ac:dyDescent="0.2">
      <c r="H601" s="65"/>
      <c r="I601" s="65"/>
      <c r="J601" s="65"/>
    </row>
    <row r="602" spans="8:10" x14ac:dyDescent="0.2">
      <c r="H602" s="65"/>
      <c r="I602" s="65"/>
      <c r="J602" s="65"/>
    </row>
    <row r="603" spans="8:10" x14ac:dyDescent="0.2">
      <c r="H603" s="65"/>
      <c r="I603" s="65"/>
      <c r="J603" s="65"/>
    </row>
    <row r="604" spans="8:10" x14ac:dyDescent="0.2">
      <c r="H604" s="65"/>
      <c r="I604" s="65"/>
      <c r="J604" s="65"/>
    </row>
    <row r="605" spans="8:10" x14ac:dyDescent="0.2">
      <c r="H605" s="65"/>
      <c r="I605" s="65"/>
      <c r="J605" s="65"/>
    </row>
    <row r="606" spans="8:10" x14ac:dyDescent="0.2">
      <c r="H606" s="65"/>
      <c r="I606" s="65"/>
      <c r="J606" s="65"/>
    </row>
    <row r="607" spans="8:10" x14ac:dyDescent="0.2">
      <c r="H607" s="65"/>
      <c r="I607" s="65"/>
      <c r="J607" s="65"/>
    </row>
    <row r="608" spans="8:10" x14ac:dyDescent="0.2">
      <c r="H608" s="65"/>
      <c r="I608" s="65"/>
      <c r="J608" s="65"/>
    </row>
    <row r="609" spans="8:10" x14ac:dyDescent="0.2">
      <c r="H609" s="65"/>
      <c r="I609" s="65"/>
      <c r="J609" s="65"/>
    </row>
    <row r="610" spans="8:10" x14ac:dyDescent="0.2">
      <c r="H610" s="65"/>
      <c r="I610" s="65"/>
      <c r="J610" s="65"/>
    </row>
    <row r="611" spans="8:10" x14ac:dyDescent="0.2">
      <c r="H611" s="65"/>
      <c r="I611" s="65"/>
      <c r="J611" s="65"/>
    </row>
    <row r="612" spans="8:10" x14ac:dyDescent="0.2">
      <c r="H612" s="65"/>
      <c r="I612" s="65"/>
      <c r="J612" s="65"/>
    </row>
    <row r="613" spans="8:10" x14ac:dyDescent="0.2">
      <c r="H613" s="65"/>
      <c r="I613" s="65"/>
      <c r="J613" s="65"/>
    </row>
    <row r="614" spans="8:10" x14ac:dyDescent="0.2">
      <c r="H614" s="65"/>
      <c r="I614" s="65"/>
      <c r="J614" s="65"/>
    </row>
    <row r="615" spans="8:10" x14ac:dyDescent="0.2">
      <c r="H615" s="65"/>
      <c r="I615" s="65"/>
      <c r="J615" s="65"/>
    </row>
    <row r="616" spans="8:10" x14ac:dyDescent="0.2">
      <c r="H616" s="65"/>
      <c r="I616" s="65"/>
      <c r="J616" s="65"/>
    </row>
    <row r="617" spans="8:10" x14ac:dyDescent="0.2">
      <c r="H617" s="65"/>
      <c r="I617" s="65"/>
      <c r="J617" s="65"/>
    </row>
    <row r="618" spans="8:10" x14ac:dyDescent="0.2">
      <c r="H618" s="65"/>
      <c r="I618" s="65"/>
      <c r="J618" s="65"/>
    </row>
    <row r="619" spans="8:10" x14ac:dyDescent="0.2">
      <c r="H619" s="65"/>
      <c r="I619" s="65"/>
      <c r="J619" s="65"/>
    </row>
    <row r="620" spans="8:10" x14ac:dyDescent="0.2">
      <c r="H620" s="65"/>
      <c r="I620" s="65"/>
      <c r="J620" s="65"/>
    </row>
    <row r="621" spans="8:10" x14ac:dyDescent="0.2">
      <c r="H621" s="65"/>
      <c r="I621" s="65"/>
      <c r="J621" s="65"/>
    </row>
    <row r="622" spans="8:10" x14ac:dyDescent="0.2">
      <c r="H622" s="65"/>
      <c r="I622" s="65"/>
      <c r="J622" s="65"/>
    </row>
    <row r="623" spans="8:10" x14ac:dyDescent="0.2">
      <c r="H623" s="65"/>
      <c r="I623" s="65"/>
      <c r="J623" s="65"/>
    </row>
    <row r="624" spans="8:10" x14ac:dyDescent="0.2">
      <c r="H624" s="65"/>
      <c r="I624" s="65"/>
      <c r="J624" s="65"/>
    </row>
    <row r="625" spans="8:10" x14ac:dyDescent="0.2">
      <c r="H625" s="65"/>
      <c r="I625" s="65"/>
      <c r="J625" s="65"/>
    </row>
    <row r="626" spans="8:10" x14ac:dyDescent="0.2">
      <c r="H626" s="65"/>
      <c r="I626" s="65"/>
      <c r="J626" s="65"/>
    </row>
    <row r="627" spans="8:10" x14ac:dyDescent="0.2">
      <c r="H627" s="65"/>
      <c r="I627" s="65"/>
      <c r="J627" s="65"/>
    </row>
    <row r="628" spans="8:10" x14ac:dyDescent="0.2">
      <c r="H628" s="65"/>
      <c r="I628" s="65"/>
      <c r="J628" s="65"/>
    </row>
    <row r="629" spans="8:10" x14ac:dyDescent="0.2">
      <c r="H629" s="65"/>
      <c r="I629" s="65"/>
      <c r="J629" s="65"/>
    </row>
    <row r="630" spans="8:10" x14ac:dyDescent="0.2">
      <c r="H630" s="65"/>
      <c r="I630" s="65"/>
      <c r="J630" s="65"/>
    </row>
    <row r="631" spans="8:10" x14ac:dyDescent="0.2">
      <c r="H631" s="65"/>
      <c r="I631" s="65"/>
      <c r="J631" s="65"/>
    </row>
    <row r="632" spans="8:10" x14ac:dyDescent="0.2">
      <c r="H632" s="65"/>
      <c r="I632" s="65"/>
      <c r="J632" s="65"/>
    </row>
    <row r="633" spans="8:10" x14ac:dyDescent="0.2">
      <c r="H633" s="65"/>
      <c r="I633" s="65"/>
      <c r="J633" s="65"/>
    </row>
    <row r="634" spans="8:10" x14ac:dyDescent="0.2">
      <c r="H634" s="65"/>
      <c r="I634" s="65"/>
      <c r="J634" s="65"/>
    </row>
    <row r="635" spans="8:10" x14ac:dyDescent="0.2">
      <c r="H635" s="65"/>
      <c r="I635" s="65"/>
      <c r="J635" s="65"/>
    </row>
    <row r="636" spans="8:10" x14ac:dyDescent="0.2">
      <c r="H636" s="65"/>
      <c r="I636" s="65"/>
      <c r="J636" s="65"/>
    </row>
    <row r="637" spans="8:10" x14ac:dyDescent="0.2">
      <c r="H637" s="65"/>
      <c r="I637" s="65"/>
      <c r="J637" s="65"/>
    </row>
    <row r="638" spans="8:10" x14ac:dyDescent="0.2">
      <c r="H638" s="65"/>
      <c r="I638" s="65"/>
      <c r="J638" s="65"/>
    </row>
    <row r="639" spans="8:10" x14ac:dyDescent="0.2">
      <c r="H639" s="65"/>
      <c r="I639" s="65"/>
      <c r="J639" s="65"/>
    </row>
    <row r="640" spans="8:10" x14ac:dyDescent="0.2">
      <c r="H640" s="65"/>
      <c r="I640" s="65"/>
      <c r="J640" s="65"/>
    </row>
    <row r="641" spans="8:10" x14ac:dyDescent="0.2">
      <c r="H641" s="65"/>
      <c r="I641" s="65"/>
      <c r="J641" s="65"/>
    </row>
    <row r="642" spans="8:10" x14ac:dyDescent="0.2">
      <c r="H642" s="65"/>
      <c r="I642" s="65"/>
      <c r="J642" s="65"/>
    </row>
    <row r="643" spans="8:10" x14ac:dyDescent="0.2">
      <c r="H643" s="65"/>
      <c r="I643" s="65"/>
      <c r="J643" s="65"/>
    </row>
    <row r="644" spans="8:10" x14ac:dyDescent="0.2">
      <c r="H644" s="65"/>
      <c r="I644" s="65"/>
      <c r="J644" s="65"/>
    </row>
    <row r="645" spans="8:10" x14ac:dyDescent="0.2">
      <c r="H645" s="65"/>
      <c r="I645" s="65"/>
      <c r="J645" s="65"/>
    </row>
    <row r="646" spans="8:10" x14ac:dyDescent="0.2">
      <c r="H646" s="65"/>
      <c r="I646" s="65"/>
      <c r="J646" s="65"/>
    </row>
    <row r="647" spans="8:10" x14ac:dyDescent="0.2">
      <c r="H647" s="65"/>
      <c r="I647" s="65"/>
      <c r="J647" s="65"/>
    </row>
    <row r="648" spans="8:10" x14ac:dyDescent="0.2">
      <c r="H648" s="65"/>
      <c r="I648" s="65"/>
      <c r="J648" s="65"/>
    </row>
    <row r="649" spans="8:10" x14ac:dyDescent="0.2">
      <c r="H649" s="65"/>
      <c r="I649" s="65"/>
      <c r="J649" s="65"/>
    </row>
    <row r="650" spans="8:10" x14ac:dyDescent="0.2">
      <c r="H650" s="65"/>
      <c r="I650" s="65"/>
      <c r="J650" s="65"/>
    </row>
    <row r="651" spans="8:10" x14ac:dyDescent="0.2">
      <c r="H651" s="65"/>
      <c r="I651" s="65"/>
      <c r="J651" s="65"/>
    </row>
    <row r="652" spans="8:10" x14ac:dyDescent="0.2">
      <c r="H652" s="65"/>
      <c r="I652" s="65"/>
      <c r="J652" s="65"/>
    </row>
    <row r="653" spans="8:10" x14ac:dyDescent="0.2">
      <c r="H653" s="65"/>
      <c r="I653" s="65"/>
      <c r="J653" s="65"/>
    </row>
    <row r="654" spans="8:10" x14ac:dyDescent="0.2">
      <c r="H654" s="65"/>
      <c r="I654" s="65"/>
      <c r="J654" s="65"/>
    </row>
    <row r="655" spans="8:10" x14ac:dyDescent="0.2">
      <c r="H655" s="65"/>
      <c r="I655" s="65"/>
      <c r="J655" s="65"/>
    </row>
    <row r="656" spans="8:10" x14ac:dyDescent="0.2">
      <c r="H656" s="65"/>
      <c r="I656" s="65"/>
      <c r="J656" s="65"/>
    </row>
    <row r="657" spans="8:10" x14ac:dyDescent="0.2">
      <c r="H657" s="65"/>
      <c r="I657" s="65"/>
      <c r="J657" s="65"/>
    </row>
    <row r="658" spans="8:10" x14ac:dyDescent="0.2">
      <c r="H658" s="65"/>
      <c r="I658" s="65"/>
      <c r="J658" s="65"/>
    </row>
    <row r="659" spans="8:10" x14ac:dyDescent="0.2">
      <c r="H659" s="65"/>
      <c r="I659" s="65"/>
      <c r="J659" s="65"/>
    </row>
    <row r="660" spans="8:10" x14ac:dyDescent="0.2">
      <c r="H660" s="65"/>
      <c r="I660" s="65"/>
      <c r="J660" s="65"/>
    </row>
    <row r="661" spans="8:10" x14ac:dyDescent="0.2">
      <c r="H661" s="65"/>
      <c r="I661" s="65"/>
      <c r="J661" s="65"/>
    </row>
    <row r="662" spans="8:10" x14ac:dyDescent="0.2">
      <c r="H662" s="65"/>
      <c r="I662" s="65"/>
      <c r="J662" s="65"/>
    </row>
    <row r="663" spans="8:10" x14ac:dyDescent="0.2">
      <c r="H663" s="65"/>
      <c r="I663" s="65"/>
      <c r="J663" s="65"/>
    </row>
    <row r="664" spans="8:10" x14ac:dyDescent="0.2">
      <c r="H664" s="65"/>
      <c r="I664" s="65"/>
      <c r="J664" s="65"/>
    </row>
    <row r="665" spans="8:10" x14ac:dyDescent="0.2">
      <c r="H665" s="65"/>
      <c r="I665" s="65"/>
      <c r="J665" s="65"/>
    </row>
    <row r="666" spans="8:10" x14ac:dyDescent="0.2">
      <c r="H666" s="65"/>
      <c r="I666" s="65"/>
      <c r="J666" s="65"/>
    </row>
    <row r="667" spans="8:10" x14ac:dyDescent="0.2">
      <c r="H667" s="65"/>
      <c r="I667" s="65"/>
      <c r="J667" s="65"/>
    </row>
  </sheetData>
  <mergeCells count="191">
    <mergeCell ref="I287:I296"/>
    <mergeCell ref="J287:J296"/>
    <mergeCell ref="I276:I281"/>
    <mergeCell ref="J276:J281"/>
    <mergeCell ref="I249:I260"/>
    <mergeCell ref="J249:J260"/>
    <mergeCell ref="H5:J5"/>
    <mergeCell ref="C276:C281"/>
    <mergeCell ref="H276:H281"/>
    <mergeCell ref="H241:H242"/>
    <mergeCell ref="I241:I242"/>
    <mergeCell ref="J241:J242"/>
    <mergeCell ref="I261:I275"/>
    <mergeCell ref="J261:J275"/>
    <mergeCell ref="C207:C211"/>
    <mergeCell ref="A249:A260"/>
    <mergeCell ref="B249:B260"/>
    <mergeCell ref="C249:C260"/>
    <mergeCell ref="H249:H260"/>
    <mergeCell ref="A241:A242"/>
    <mergeCell ref="B241:B242"/>
    <mergeCell ref="C241:C242"/>
    <mergeCell ref="A191:A194"/>
    <mergeCell ref="B191:B194"/>
    <mergeCell ref="C191:C194"/>
    <mergeCell ref="A213:A217"/>
    <mergeCell ref="B213:B217"/>
    <mergeCell ref="C213:C217"/>
    <mergeCell ref="A221:A225"/>
    <mergeCell ref="B221:B225"/>
    <mergeCell ref="C221:C225"/>
    <mergeCell ref="A195:A198"/>
    <mergeCell ref="B195:B198"/>
    <mergeCell ref="C195:C198"/>
    <mergeCell ref="A200:A202"/>
    <mergeCell ref="B200:B202"/>
    <mergeCell ref="C200:C202"/>
    <mergeCell ref="A207:A211"/>
    <mergeCell ref="B207:B211"/>
    <mergeCell ref="A299:A300"/>
    <mergeCell ref="B299:B300"/>
    <mergeCell ref="C299:C300"/>
    <mergeCell ref="H299:H300"/>
    <mergeCell ref="A261:A275"/>
    <mergeCell ref="B261:B275"/>
    <mergeCell ref="C261:C275"/>
    <mergeCell ref="H261:H275"/>
    <mergeCell ref="A276:A281"/>
    <mergeCell ref="B276:B281"/>
    <mergeCell ref="A287:A296"/>
    <mergeCell ref="B287:B296"/>
    <mergeCell ref="C287:C296"/>
    <mergeCell ref="H287:H296"/>
    <mergeCell ref="C366:C367"/>
    <mergeCell ref="H366:H367"/>
    <mergeCell ref="A368:A369"/>
    <mergeCell ref="B368:B369"/>
    <mergeCell ref="C368:C369"/>
    <mergeCell ref="B321:B328"/>
    <mergeCell ref="B338:B349"/>
    <mergeCell ref="H321:H328"/>
    <mergeCell ref="A173:A175"/>
    <mergeCell ref="B173:B175"/>
    <mergeCell ref="C173:C175"/>
    <mergeCell ref="A176:A178"/>
    <mergeCell ref="B176:B178"/>
    <mergeCell ref="C176:C178"/>
    <mergeCell ref="A179:A181"/>
    <mergeCell ref="A319:A320"/>
    <mergeCell ref="B319:B320"/>
    <mergeCell ref="C319:C320"/>
    <mergeCell ref="H319:H320"/>
    <mergeCell ref="A303:A308"/>
    <mergeCell ref="B303:B308"/>
    <mergeCell ref="C303:C308"/>
    <mergeCell ref="H303:H308"/>
    <mergeCell ref="A309:A318"/>
    <mergeCell ref="A321:A328"/>
    <mergeCell ref="B136:B138"/>
    <mergeCell ref="C136:C138"/>
    <mergeCell ref="C103:C107"/>
    <mergeCell ref="A124:A127"/>
    <mergeCell ref="C117:C119"/>
    <mergeCell ref="A120:A123"/>
    <mergeCell ref="B120:B123"/>
    <mergeCell ref="C120:C123"/>
    <mergeCell ref="C159:C162"/>
    <mergeCell ref="A136:A138"/>
    <mergeCell ref="A103:A107"/>
    <mergeCell ref="B103:B107"/>
    <mergeCell ref="B132:B135"/>
    <mergeCell ref="C132:C135"/>
    <mergeCell ref="B124:B127"/>
    <mergeCell ref="C124:C127"/>
    <mergeCell ref="A128:A131"/>
    <mergeCell ref="B128:B131"/>
    <mergeCell ref="C128:C131"/>
    <mergeCell ref="A117:A119"/>
    <mergeCell ref="B117:B119"/>
    <mergeCell ref="C112:C116"/>
    <mergeCell ref="B309:B318"/>
    <mergeCell ref="A2:B2"/>
    <mergeCell ref="A5:A6"/>
    <mergeCell ref="B5:B6"/>
    <mergeCell ref="C5:C6"/>
    <mergeCell ref="A155:A158"/>
    <mergeCell ref="B155:B158"/>
    <mergeCell ref="C155:C158"/>
    <mergeCell ref="A159:A162"/>
    <mergeCell ref="B159:B162"/>
    <mergeCell ref="A108:A111"/>
    <mergeCell ref="B108:B111"/>
    <mergeCell ref="C108:C111"/>
    <mergeCell ref="A112:A116"/>
    <mergeCell ref="B112:B116"/>
    <mergeCell ref="A98:A102"/>
    <mergeCell ref="B98:B102"/>
    <mergeCell ref="C98:C102"/>
    <mergeCell ref="A84:B84"/>
    <mergeCell ref="A93:A94"/>
    <mergeCell ref="A132:A135"/>
    <mergeCell ref="B93:B94"/>
    <mergeCell ref="A3:J3"/>
    <mergeCell ref="A4:J4"/>
    <mergeCell ref="D5:G5"/>
    <mergeCell ref="J299:J300"/>
    <mergeCell ref="I303:I308"/>
    <mergeCell ref="I309:I318"/>
    <mergeCell ref="J309:J318"/>
    <mergeCell ref="I319:I320"/>
    <mergeCell ref="J319:J320"/>
    <mergeCell ref="J321:J328"/>
    <mergeCell ref="C321:C328"/>
    <mergeCell ref="J303:J308"/>
    <mergeCell ref="I321:I328"/>
    <mergeCell ref="I299:I300"/>
    <mergeCell ref="C309:C318"/>
    <mergeCell ref="H309:H318"/>
    <mergeCell ref="I368:I369"/>
    <mergeCell ref="I366:I367"/>
    <mergeCell ref="J366:J367"/>
    <mergeCell ref="I363:I364"/>
    <mergeCell ref="J363:J364"/>
    <mergeCell ref="J368:J369"/>
    <mergeCell ref="A329:A337"/>
    <mergeCell ref="B329:B337"/>
    <mergeCell ref="C329:C337"/>
    <mergeCell ref="H329:H337"/>
    <mergeCell ref="I329:I337"/>
    <mergeCell ref="J329:J337"/>
    <mergeCell ref="A338:A349"/>
    <mergeCell ref="H338:H349"/>
    <mergeCell ref="I338:I349"/>
    <mergeCell ref="J338:J349"/>
    <mergeCell ref="C338:C349"/>
    <mergeCell ref="H368:H369"/>
    <mergeCell ref="A363:A364"/>
    <mergeCell ref="B363:B364"/>
    <mergeCell ref="C363:C364"/>
    <mergeCell ref="H363:H364"/>
    <mergeCell ref="A366:A367"/>
    <mergeCell ref="B366:B367"/>
    <mergeCell ref="A140:A142"/>
    <mergeCell ref="B140:B142"/>
    <mergeCell ref="C140:C142"/>
    <mergeCell ref="A146:A148"/>
    <mergeCell ref="B146:B148"/>
    <mergeCell ref="C146:C148"/>
    <mergeCell ref="A149:A151"/>
    <mergeCell ref="B149:B151"/>
    <mergeCell ref="C149:C151"/>
    <mergeCell ref="A152:A154"/>
    <mergeCell ref="B152:B154"/>
    <mergeCell ref="C152:C154"/>
    <mergeCell ref="A163:A166"/>
    <mergeCell ref="B163:B166"/>
    <mergeCell ref="C163:C166"/>
    <mergeCell ref="A170:A172"/>
    <mergeCell ref="B170:B172"/>
    <mergeCell ref="C170:C172"/>
    <mergeCell ref="B179:B181"/>
    <mergeCell ref="C179:C181"/>
    <mergeCell ref="A182:A184"/>
    <mergeCell ref="B182:B184"/>
    <mergeCell ref="C182:C184"/>
    <mergeCell ref="A185:A187"/>
    <mergeCell ref="B185:B187"/>
    <mergeCell ref="C185:C187"/>
    <mergeCell ref="A188:A190"/>
    <mergeCell ref="B188:B190"/>
    <mergeCell ref="C188:C190"/>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rowBreaks count="15" manualBreakCount="15">
    <brk id="34" max="16383" man="1"/>
    <brk id="57" max="16383" man="1"/>
    <brk id="83" max="16383" man="1"/>
    <brk id="107" max="16383" man="1"/>
    <brk id="135" max="16383" man="1"/>
    <brk id="162" max="16383" man="1"/>
    <brk id="184" max="16383" man="1"/>
    <brk id="206" max="9" man="1"/>
    <brk id="235" max="9" man="1"/>
    <brk id="260" max="16383" man="1"/>
    <brk id="285" max="9" man="1"/>
    <brk id="308" max="9" man="1"/>
    <brk id="328" max="16383" man="1"/>
    <brk id="350" max="9" man="1"/>
    <brk id="371"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tint="0.79998168889431442"/>
  </sheetPr>
  <dimension ref="A2:J1205"/>
  <sheetViews>
    <sheetView showZeros="0" view="pageBreakPreview" topLeftCell="A259" zoomScale="60" zoomScaleNormal="100" workbookViewId="0">
      <selection activeCell="E7" sqref="E7:J274"/>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0" ht="18" customHeight="1" x14ac:dyDescent="0.2">
      <c r="A2" s="983" t="s">
        <v>19</v>
      </c>
      <c r="B2" s="983"/>
      <c r="C2" s="1"/>
      <c r="D2" s="150"/>
      <c r="E2" s="269"/>
      <c r="F2" s="150"/>
      <c r="G2" s="150"/>
      <c r="H2" s="271"/>
      <c r="I2" s="271"/>
      <c r="J2" s="2"/>
    </row>
    <row r="3" spans="1:10" ht="24.75" customHeight="1" x14ac:dyDescent="0.2">
      <c r="A3" s="987" t="s">
        <v>12</v>
      </c>
      <c r="B3" s="988"/>
      <c r="C3" s="988"/>
      <c r="D3" s="988"/>
      <c r="E3" s="988"/>
      <c r="F3" s="988"/>
      <c r="G3" s="988"/>
      <c r="H3" s="988"/>
      <c r="I3" s="988"/>
      <c r="J3" s="989"/>
    </row>
    <row r="4" spans="1:10" ht="25.5" customHeight="1" x14ac:dyDescent="0.2">
      <c r="A4" s="987" t="s">
        <v>13</v>
      </c>
      <c r="B4" s="988"/>
      <c r="C4" s="988"/>
      <c r="D4" s="988"/>
      <c r="E4" s="988"/>
      <c r="F4" s="988"/>
      <c r="G4" s="988"/>
      <c r="H4" s="988"/>
      <c r="I4" s="988"/>
      <c r="J4" s="989"/>
    </row>
    <row r="5" spans="1:10" ht="18" customHeight="1" x14ac:dyDescent="0.2">
      <c r="A5" s="1007" t="s">
        <v>0</v>
      </c>
      <c r="B5" s="1007" t="s">
        <v>1</v>
      </c>
      <c r="C5" s="984" t="s">
        <v>2</v>
      </c>
      <c r="D5" s="990" t="s">
        <v>1440</v>
      </c>
      <c r="E5" s="990"/>
      <c r="F5" s="990"/>
      <c r="G5" s="990"/>
      <c r="H5" s="990" t="s">
        <v>1441</v>
      </c>
      <c r="I5" s="990"/>
      <c r="J5" s="990"/>
    </row>
    <row r="6" spans="1:10" ht="25.5" customHeight="1" x14ac:dyDescent="0.2">
      <c r="A6" s="1008"/>
      <c r="B6" s="1008"/>
      <c r="C6" s="984"/>
      <c r="D6" s="4" t="s">
        <v>3</v>
      </c>
      <c r="E6" s="4" t="s">
        <v>4</v>
      </c>
      <c r="F6" s="270" t="s">
        <v>1298</v>
      </c>
      <c r="G6" s="270" t="s">
        <v>1439</v>
      </c>
      <c r="H6" s="4" t="s">
        <v>1297</v>
      </c>
      <c r="I6" s="270" t="s">
        <v>1298</v>
      </c>
      <c r="J6" s="270" t="s">
        <v>1439</v>
      </c>
    </row>
    <row r="7" spans="1:10" ht="18.75" customHeight="1" x14ac:dyDescent="0.2">
      <c r="A7" s="1013" t="s">
        <v>216</v>
      </c>
      <c r="B7" s="1014"/>
      <c r="C7" s="183"/>
      <c r="D7" s="60"/>
      <c r="E7" s="22"/>
      <c r="F7" s="34"/>
      <c r="G7" s="34"/>
      <c r="H7" s="264"/>
      <c r="I7" s="264"/>
      <c r="J7" s="264"/>
    </row>
    <row r="8" spans="1:10" ht="18.75" customHeight="1" x14ac:dyDescent="0.2">
      <c r="A8" s="36"/>
      <c r="B8" s="307" t="s">
        <v>1644</v>
      </c>
      <c r="C8" s="292"/>
      <c r="D8" s="302"/>
      <c r="E8" s="390"/>
      <c r="F8" s="390"/>
      <c r="G8" s="390"/>
      <c r="H8" s="41">
        <f>+H9+H13+H17+H19+H23+H30+H35+H39+H43+H48+H53</f>
        <v>72179</v>
      </c>
      <c r="I8" s="306">
        <f>+I9+I13+I17+I19+I23+I30+I35+I39+I43+I48+I53</f>
        <v>70847.740000000005</v>
      </c>
      <c r="J8" s="314">
        <f>I8/H8%</f>
        <v>98.155613128472282</v>
      </c>
    </row>
    <row r="9" spans="1:10" ht="18.75" customHeight="1" x14ac:dyDescent="0.2">
      <c r="A9" s="43">
        <v>1</v>
      </c>
      <c r="B9" s="308" t="s">
        <v>217</v>
      </c>
      <c r="C9" s="292"/>
      <c r="D9" s="302"/>
      <c r="E9" s="390"/>
      <c r="F9" s="390"/>
      <c r="G9" s="390"/>
      <c r="H9" s="39">
        <f>SUM(H10:H12)</f>
        <v>1010</v>
      </c>
      <c r="I9" s="313">
        <f>SUM(I10:I12)</f>
        <v>886</v>
      </c>
      <c r="J9" s="290">
        <f>I9/H9%</f>
        <v>87.722772277227719</v>
      </c>
    </row>
    <row r="10" spans="1:10" ht="25.5" x14ac:dyDescent="0.2">
      <c r="A10" s="351">
        <v>1.1000000000000001</v>
      </c>
      <c r="B10" s="310" t="s">
        <v>2004</v>
      </c>
      <c r="C10" s="162" t="s">
        <v>218</v>
      </c>
      <c r="D10" s="162" t="s">
        <v>219</v>
      </c>
      <c r="E10" s="390">
        <v>1</v>
      </c>
      <c r="F10" s="390">
        <v>1</v>
      </c>
      <c r="G10" s="290">
        <f>F10/E10%</f>
        <v>100</v>
      </c>
      <c r="H10" s="122">
        <v>50</v>
      </c>
      <c r="I10" s="311">
        <v>50</v>
      </c>
      <c r="J10" s="290">
        <f>I10/H10%</f>
        <v>100</v>
      </c>
    </row>
    <row r="11" spans="1:10" ht="18.75" customHeight="1" x14ac:dyDescent="0.2">
      <c r="A11" s="351">
        <v>1.2</v>
      </c>
      <c r="B11" s="310" t="s">
        <v>1645</v>
      </c>
      <c r="C11" s="162" t="s">
        <v>218</v>
      </c>
      <c r="D11" s="162" t="s">
        <v>220</v>
      </c>
      <c r="E11" s="390">
        <v>2</v>
      </c>
      <c r="F11" s="390">
        <v>2</v>
      </c>
      <c r="G11" s="290">
        <f t="shared" ref="G11:G61" si="0">F11/E11%</f>
        <v>100</v>
      </c>
      <c r="H11" s="122">
        <v>260</v>
      </c>
      <c r="I11" s="311">
        <v>260</v>
      </c>
      <c r="J11" s="290">
        <f t="shared" ref="J11:J61" si="1">I11/H11%</f>
        <v>100</v>
      </c>
    </row>
    <row r="12" spans="1:10" ht="27" customHeight="1" x14ac:dyDescent="0.2">
      <c r="A12" s="351">
        <v>1.3</v>
      </c>
      <c r="B12" s="310" t="s">
        <v>221</v>
      </c>
      <c r="C12" s="162" t="s">
        <v>218</v>
      </c>
      <c r="D12" s="162" t="s">
        <v>222</v>
      </c>
      <c r="E12" s="390">
        <v>3</v>
      </c>
      <c r="F12" s="390">
        <v>3</v>
      </c>
      <c r="G12" s="290">
        <f t="shared" si="0"/>
        <v>100</v>
      </c>
      <c r="H12" s="122">
        <v>700</v>
      </c>
      <c r="I12" s="311">
        <v>576</v>
      </c>
      <c r="J12" s="290">
        <f t="shared" si="1"/>
        <v>82.285714285714292</v>
      </c>
    </row>
    <row r="13" spans="1:10" ht="25.5" x14ac:dyDescent="0.2">
      <c r="A13" s="43">
        <v>2</v>
      </c>
      <c r="B13" s="59" t="s">
        <v>223</v>
      </c>
      <c r="C13" s="164"/>
      <c r="D13" s="164"/>
      <c r="E13" s="38"/>
      <c r="F13" s="38"/>
      <c r="G13" s="38"/>
      <c r="H13" s="45">
        <f>SUM(H14:H16)</f>
        <v>1460</v>
      </c>
      <c r="I13" s="45">
        <f>SUM(I14:I16)</f>
        <v>1120</v>
      </c>
      <c r="J13" s="316">
        <f t="shared" si="1"/>
        <v>76.712328767123296</v>
      </c>
    </row>
    <row r="14" spans="1:10" ht="40.5" customHeight="1" x14ac:dyDescent="0.2">
      <c r="A14" s="351">
        <v>2.1</v>
      </c>
      <c r="B14" s="310" t="s">
        <v>224</v>
      </c>
      <c r="C14" s="162" t="s">
        <v>218</v>
      </c>
      <c r="D14" s="162" t="s">
        <v>220</v>
      </c>
      <c r="E14" s="390">
        <v>1</v>
      </c>
      <c r="F14" s="390">
        <v>1</v>
      </c>
      <c r="G14" s="290">
        <f t="shared" si="0"/>
        <v>100</v>
      </c>
      <c r="H14" s="122">
        <v>800</v>
      </c>
      <c r="I14" s="311">
        <v>800</v>
      </c>
      <c r="J14" s="290">
        <f t="shared" si="1"/>
        <v>100</v>
      </c>
    </row>
    <row r="15" spans="1:10" ht="40.5" customHeight="1" x14ac:dyDescent="0.2">
      <c r="A15" s="351">
        <v>2.2000000000000002</v>
      </c>
      <c r="B15" s="310" t="s">
        <v>225</v>
      </c>
      <c r="C15" s="162" t="s">
        <v>218</v>
      </c>
      <c r="D15" s="162" t="s">
        <v>222</v>
      </c>
      <c r="E15" s="390">
        <v>1</v>
      </c>
      <c r="F15" s="390">
        <v>1</v>
      </c>
      <c r="G15" s="290">
        <f t="shared" si="0"/>
        <v>100</v>
      </c>
      <c r="H15" s="122">
        <v>160</v>
      </c>
      <c r="I15" s="311">
        <v>160</v>
      </c>
      <c r="J15" s="290">
        <f t="shared" si="1"/>
        <v>100</v>
      </c>
    </row>
    <row r="16" spans="1:10" ht="65.25" customHeight="1" x14ac:dyDescent="0.2">
      <c r="A16" s="351">
        <v>2.2999999999999998</v>
      </c>
      <c r="B16" s="310" t="s">
        <v>226</v>
      </c>
      <c r="C16" s="162" t="s">
        <v>218</v>
      </c>
      <c r="D16" s="162" t="s">
        <v>1646</v>
      </c>
      <c r="E16" s="390">
        <v>1</v>
      </c>
      <c r="F16" s="390">
        <v>1</v>
      </c>
      <c r="G16" s="290">
        <f t="shared" si="0"/>
        <v>100</v>
      </c>
      <c r="H16" s="122">
        <v>500</v>
      </c>
      <c r="I16" s="311">
        <v>160</v>
      </c>
      <c r="J16" s="290">
        <f t="shared" si="1"/>
        <v>32</v>
      </c>
    </row>
    <row r="17" spans="1:10" ht="28.5" customHeight="1" x14ac:dyDescent="0.2">
      <c r="A17" s="43">
        <v>3</v>
      </c>
      <c r="B17" s="59" t="s">
        <v>227</v>
      </c>
      <c r="C17" s="164"/>
      <c r="D17" s="164"/>
      <c r="E17" s="38"/>
      <c r="F17" s="38"/>
      <c r="G17" s="38"/>
      <c r="H17" s="45">
        <f>+H18</f>
        <v>500</v>
      </c>
      <c r="I17" s="278">
        <f>+I18</f>
        <v>500</v>
      </c>
      <c r="J17" s="316">
        <f t="shared" si="1"/>
        <v>100</v>
      </c>
    </row>
    <row r="18" spans="1:10" ht="42.75" customHeight="1" x14ac:dyDescent="0.2">
      <c r="A18" s="351">
        <v>3.1</v>
      </c>
      <c r="B18" s="310" t="s">
        <v>1647</v>
      </c>
      <c r="C18" s="162" t="s">
        <v>218</v>
      </c>
      <c r="D18" s="162" t="s">
        <v>222</v>
      </c>
      <c r="E18" s="390">
        <v>2</v>
      </c>
      <c r="F18" s="390">
        <v>2</v>
      </c>
      <c r="G18" s="290">
        <f t="shared" si="0"/>
        <v>100</v>
      </c>
      <c r="H18" s="122">
        <v>500</v>
      </c>
      <c r="I18" s="311">
        <v>500</v>
      </c>
      <c r="J18" s="290">
        <f t="shared" si="1"/>
        <v>100</v>
      </c>
    </row>
    <row r="19" spans="1:10" ht="36.75" customHeight="1" x14ac:dyDescent="0.2">
      <c r="A19" s="43">
        <v>4</v>
      </c>
      <c r="B19" s="59" t="s">
        <v>1648</v>
      </c>
      <c r="C19" s="164"/>
      <c r="D19" s="164"/>
      <c r="E19" s="38"/>
      <c r="F19" s="38"/>
      <c r="G19" s="38"/>
      <c r="H19" s="45">
        <f>SUM(H20:H22)</f>
        <v>1140</v>
      </c>
      <c r="I19" s="278">
        <f>SUM(I20:I22)</f>
        <v>1140</v>
      </c>
      <c r="J19" s="316">
        <f t="shared" si="1"/>
        <v>100</v>
      </c>
    </row>
    <row r="20" spans="1:10" ht="37.5" customHeight="1" x14ac:dyDescent="0.2">
      <c r="A20" s="351">
        <v>4.0999999999999996</v>
      </c>
      <c r="B20" s="310" t="s">
        <v>228</v>
      </c>
      <c r="C20" s="312" t="s">
        <v>218</v>
      </c>
      <c r="D20" s="312" t="s">
        <v>229</v>
      </c>
      <c r="E20" s="889">
        <v>2</v>
      </c>
      <c r="F20" s="889">
        <v>2</v>
      </c>
      <c r="G20" s="290">
        <f t="shared" si="0"/>
        <v>100</v>
      </c>
      <c r="H20" s="122">
        <v>500</v>
      </c>
      <c r="I20" s="311">
        <v>500</v>
      </c>
      <c r="J20" s="290">
        <f t="shared" si="1"/>
        <v>100</v>
      </c>
    </row>
    <row r="21" spans="1:10" ht="38.25" x14ac:dyDescent="0.2">
      <c r="A21" s="351">
        <v>4.2</v>
      </c>
      <c r="B21" s="310" t="s">
        <v>230</v>
      </c>
      <c r="C21" s="312" t="s">
        <v>46</v>
      </c>
      <c r="D21" s="312" t="s">
        <v>222</v>
      </c>
      <c r="E21" s="889">
        <v>2</v>
      </c>
      <c r="F21" s="889">
        <v>2</v>
      </c>
      <c r="G21" s="290">
        <f t="shared" si="0"/>
        <v>100</v>
      </c>
      <c r="H21" s="122">
        <v>320</v>
      </c>
      <c r="I21" s="311">
        <v>320</v>
      </c>
      <c r="J21" s="290">
        <f t="shared" si="1"/>
        <v>100</v>
      </c>
    </row>
    <row r="22" spans="1:10" ht="31.5" customHeight="1" x14ac:dyDescent="0.2">
      <c r="A22" s="351">
        <v>4.3</v>
      </c>
      <c r="B22" s="310" t="s">
        <v>231</v>
      </c>
      <c r="C22" s="312" t="s">
        <v>46</v>
      </c>
      <c r="D22" s="312" t="s">
        <v>1646</v>
      </c>
      <c r="E22" s="889">
        <v>2</v>
      </c>
      <c r="F22" s="889">
        <v>2</v>
      </c>
      <c r="G22" s="290">
        <f t="shared" si="0"/>
        <v>100</v>
      </c>
      <c r="H22" s="122">
        <v>320</v>
      </c>
      <c r="I22" s="311">
        <v>320</v>
      </c>
      <c r="J22" s="290">
        <f t="shared" si="1"/>
        <v>100</v>
      </c>
    </row>
    <row r="23" spans="1:10" ht="51.75" customHeight="1" x14ac:dyDescent="0.2">
      <c r="A23" s="43">
        <v>5</v>
      </c>
      <c r="B23" s="59" t="s">
        <v>232</v>
      </c>
      <c r="C23" s="164"/>
      <c r="D23" s="164"/>
      <c r="E23" s="38"/>
      <c r="F23" s="38"/>
      <c r="G23" s="38"/>
      <c r="H23" s="45">
        <f>SUM(H24:H29)</f>
        <v>4480</v>
      </c>
      <c r="I23" s="278">
        <f>SUM(I24:I29)</f>
        <v>3530</v>
      </c>
      <c r="J23" s="316">
        <f t="shared" si="1"/>
        <v>78.794642857142861</v>
      </c>
    </row>
    <row r="24" spans="1:10" ht="51" x14ac:dyDescent="0.2">
      <c r="A24" s="351">
        <v>5.0999999999999996</v>
      </c>
      <c r="B24" s="310" t="s">
        <v>2012</v>
      </c>
      <c r="C24" s="312" t="s">
        <v>218</v>
      </c>
      <c r="D24" s="312" t="s">
        <v>233</v>
      </c>
      <c r="E24" s="889">
        <v>1</v>
      </c>
      <c r="F24" s="889">
        <v>1</v>
      </c>
      <c r="G24" s="290">
        <f t="shared" si="0"/>
        <v>100</v>
      </c>
      <c r="H24" s="122">
        <v>980</v>
      </c>
      <c r="I24" s="311">
        <v>980</v>
      </c>
      <c r="J24" s="290">
        <f t="shared" si="1"/>
        <v>99.999999999999986</v>
      </c>
    </row>
    <row r="25" spans="1:10" ht="51" x14ac:dyDescent="0.2">
      <c r="A25" s="351">
        <v>5.2</v>
      </c>
      <c r="B25" s="310" t="s">
        <v>234</v>
      </c>
      <c r="C25" s="312" t="s">
        <v>218</v>
      </c>
      <c r="D25" s="312" t="s">
        <v>235</v>
      </c>
      <c r="E25" s="889">
        <v>6</v>
      </c>
      <c r="F25" s="889">
        <v>6</v>
      </c>
      <c r="G25" s="290">
        <f t="shared" si="0"/>
        <v>100</v>
      </c>
      <c r="H25" s="122">
        <v>500</v>
      </c>
      <c r="I25" s="311">
        <v>500</v>
      </c>
      <c r="J25" s="290">
        <f t="shared" si="1"/>
        <v>100</v>
      </c>
    </row>
    <row r="26" spans="1:10" ht="25.5" x14ac:dyDescent="0.2">
      <c r="A26" s="351">
        <v>5.3</v>
      </c>
      <c r="B26" s="310" t="s">
        <v>1649</v>
      </c>
      <c r="C26" s="312" t="s">
        <v>218</v>
      </c>
      <c r="D26" s="312" t="s">
        <v>235</v>
      </c>
      <c r="E26" s="889">
        <v>1</v>
      </c>
      <c r="F26" s="889">
        <v>1</v>
      </c>
      <c r="G26" s="290">
        <f t="shared" si="0"/>
        <v>100</v>
      </c>
      <c r="H26" s="122">
        <v>1200</v>
      </c>
      <c r="I26" s="311"/>
      <c r="J26" s="290">
        <f t="shared" si="1"/>
        <v>0</v>
      </c>
    </row>
    <row r="27" spans="1:10" ht="26.25" customHeight="1" x14ac:dyDescent="0.2">
      <c r="A27" s="351">
        <v>5.4</v>
      </c>
      <c r="B27" s="310" t="s">
        <v>236</v>
      </c>
      <c r="C27" s="312" t="s">
        <v>218</v>
      </c>
      <c r="D27" s="312" t="s">
        <v>222</v>
      </c>
      <c r="E27" s="889">
        <v>1</v>
      </c>
      <c r="F27" s="889">
        <v>1</v>
      </c>
      <c r="G27" s="290">
        <f t="shared" si="0"/>
        <v>100</v>
      </c>
      <c r="H27" s="122"/>
      <c r="I27" s="311"/>
      <c r="J27" s="290"/>
    </row>
    <row r="28" spans="1:10" ht="18.75" customHeight="1" x14ac:dyDescent="0.2">
      <c r="A28" s="351">
        <v>5.5</v>
      </c>
      <c r="B28" s="310" t="s">
        <v>1650</v>
      </c>
      <c r="C28" s="312" t="s">
        <v>218</v>
      </c>
      <c r="D28" s="312" t="s">
        <v>220</v>
      </c>
      <c r="E28" s="889">
        <v>2</v>
      </c>
      <c r="F28" s="889">
        <v>2</v>
      </c>
      <c r="G28" s="290">
        <f t="shared" si="0"/>
        <v>100</v>
      </c>
      <c r="H28" s="122">
        <v>800</v>
      </c>
      <c r="I28" s="311">
        <v>1200</v>
      </c>
      <c r="J28" s="290">
        <f t="shared" si="1"/>
        <v>150</v>
      </c>
    </row>
    <row r="29" spans="1:10" ht="37.5" customHeight="1" x14ac:dyDescent="0.2">
      <c r="A29" s="351">
        <v>5.6</v>
      </c>
      <c r="B29" s="310" t="s">
        <v>1651</v>
      </c>
      <c r="C29" s="312" t="s">
        <v>218</v>
      </c>
      <c r="D29" s="312" t="s">
        <v>90</v>
      </c>
      <c r="E29" s="889">
        <v>1</v>
      </c>
      <c r="F29" s="889">
        <v>1</v>
      </c>
      <c r="G29" s="290">
        <f t="shared" si="0"/>
        <v>100</v>
      </c>
      <c r="H29" s="122">
        <v>1000</v>
      </c>
      <c r="I29" s="311">
        <v>850</v>
      </c>
      <c r="J29" s="290">
        <f t="shared" si="1"/>
        <v>85</v>
      </c>
    </row>
    <row r="30" spans="1:10" ht="41.25" customHeight="1" x14ac:dyDescent="0.2">
      <c r="A30" s="43">
        <v>6</v>
      </c>
      <c r="B30" s="59" t="s">
        <v>237</v>
      </c>
      <c r="C30" s="164"/>
      <c r="D30" s="164"/>
      <c r="E30" s="38"/>
      <c r="F30" s="38"/>
      <c r="G30" s="38"/>
      <c r="H30" s="45">
        <f>SUM(H31:H34)</f>
        <v>2850</v>
      </c>
      <c r="I30" s="278">
        <f>SUM(I31:I34)</f>
        <v>2850</v>
      </c>
      <c r="J30" s="316">
        <f t="shared" si="1"/>
        <v>100</v>
      </c>
    </row>
    <row r="31" spans="1:10" ht="40.5" customHeight="1" x14ac:dyDescent="0.2">
      <c r="A31" s="351">
        <v>6.1</v>
      </c>
      <c r="B31" s="310" t="s">
        <v>238</v>
      </c>
      <c r="C31" s="312" t="s">
        <v>218</v>
      </c>
      <c r="D31" s="312" t="s">
        <v>239</v>
      </c>
      <c r="E31" s="889">
        <v>1</v>
      </c>
      <c r="F31" s="889">
        <v>1</v>
      </c>
      <c r="G31" s="290">
        <f t="shared" si="0"/>
        <v>100</v>
      </c>
      <c r="H31" s="122">
        <v>2850</v>
      </c>
      <c r="I31" s="311">
        <v>2850</v>
      </c>
      <c r="J31" s="290">
        <f t="shared" si="1"/>
        <v>100</v>
      </c>
    </row>
    <row r="32" spans="1:10" ht="38.25" x14ac:dyDescent="0.2">
      <c r="A32" s="351">
        <v>6.2</v>
      </c>
      <c r="B32" s="310" t="s">
        <v>240</v>
      </c>
      <c r="C32" s="312" t="s">
        <v>218</v>
      </c>
      <c r="D32" s="312" t="s">
        <v>90</v>
      </c>
      <c r="E32" s="889">
        <v>2</v>
      </c>
      <c r="F32" s="889">
        <v>2</v>
      </c>
      <c r="G32" s="290">
        <f t="shared" si="0"/>
        <v>100</v>
      </c>
      <c r="H32" s="122">
        <v>0</v>
      </c>
      <c r="I32" s="311">
        <v>0</v>
      </c>
      <c r="J32" s="290"/>
    </row>
    <row r="33" spans="1:10" ht="51" x14ac:dyDescent="0.2">
      <c r="A33" s="351">
        <v>6.3</v>
      </c>
      <c r="B33" s="310" t="s">
        <v>241</v>
      </c>
      <c r="C33" s="312" t="s">
        <v>218</v>
      </c>
      <c r="D33" s="312" t="s">
        <v>222</v>
      </c>
      <c r="E33" s="889">
        <v>3</v>
      </c>
      <c r="F33" s="889">
        <v>3</v>
      </c>
      <c r="G33" s="290">
        <f t="shared" si="0"/>
        <v>100</v>
      </c>
      <c r="H33" s="122"/>
      <c r="I33" s="311"/>
      <c r="J33" s="290"/>
    </row>
    <row r="34" spans="1:10" ht="50.25" customHeight="1" x14ac:dyDescent="0.2">
      <c r="A34" s="351">
        <v>6.4</v>
      </c>
      <c r="B34" s="310" t="s">
        <v>1652</v>
      </c>
      <c r="C34" s="312" t="s">
        <v>46</v>
      </c>
      <c r="D34" s="312" t="s">
        <v>222</v>
      </c>
      <c r="E34" s="889">
        <v>4</v>
      </c>
      <c r="F34" s="889">
        <v>4</v>
      </c>
      <c r="G34" s="290">
        <f t="shared" si="0"/>
        <v>100</v>
      </c>
      <c r="H34" s="122"/>
      <c r="I34" s="311"/>
      <c r="J34" s="290"/>
    </row>
    <row r="35" spans="1:10" ht="37.5" customHeight="1" x14ac:dyDescent="0.2">
      <c r="A35" s="40">
        <v>7</v>
      </c>
      <c r="B35" s="59" t="s">
        <v>242</v>
      </c>
      <c r="C35" s="164"/>
      <c r="D35" s="164"/>
      <c r="E35" s="38"/>
      <c r="F35" s="38"/>
      <c r="G35" s="38"/>
      <c r="H35" s="45">
        <f>SUM(H36:H37)</f>
        <v>964</v>
      </c>
      <c r="I35" s="278">
        <f>SUM(I36:I37)</f>
        <v>1050</v>
      </c>
      <c r="J35" s="316">
        <f t="shared" si="1"/>
        <v>108.92116182572613</v>
      </c>
    </row>
    <row r="36" spans="1:10" ht="38.25" x14ac:dyDescent="0.2">
      <c r="A36" s="351">
        <v>7.2</v>
      </c>
      <c r="B36" s="310" t="s">
        <v>1653</v>
      </c>
      <c r="C36" s="312" t="s">
        <v>218</v>
      </c>
      <c r="D36" s="312" t="s">
        <v>243</v>
      </c>
      <c r="E36" s="889">
        <v>2</v>
      </c>
      <c r="F36" s="889">
        <v>2</v>
      </c>
      <c r="G36" s="290">
        <f t="shared" si="0"/>
        <v>100</v>
      </c>
      <c r="H36" s="122">
        <v>714</v>
      </c>
      <c r="I36" s="311">
        <v>800</v>
      </c>
      <c r="J36" s="290">
        <f t="shared" si="1"/>
        <v>112.04481792717087</v>
      </c>
    </row>
    <row r="37" spans="1:10" ht="27.75" customHeight="1" x14ac:dyDescent="0.2">
      <c r="A37" s="351">
        <v>7.3</v>
      </c>
      <c r="B37" s="310" t="s">
        <v>244</v>
      </c>
      <c r="C37" s="312" t="s">
        <v>218</v>
      </c>
      <c r="D37" s="312" t="s">
        <v>220</v>
      </c>
      <c r="E37" s="889">
        <v>2</v>
      </c>
      <c r="F37" s="889">
        <v>2</v>
      </c>
      <c r="G37" s="290">
        <f t="shared" si="0"/>
        <v>100</v>
      </c>
      <c r="H37" s="122">
        <v>250</v>
      </c>
      <c r="I37" s="311">
        <v>250</v>
      </c>
      <c r="J37" s="290">
        <f t="shared" si="1"/>
        <v>100</v>
      </c>
    </row>
    <row r="38" spans="1:10" ht="25.5" customHeight="1" x14ac:dyDescent="0.2">
      <c r="A38" s="351">
        <v>7.4</v>
      </c>
      <c r="B38" s="310" t="s">
        <v>1654</v>
      </c>
      <c r="C38" s="312" t="s">
        <v>218</v>
      </c>
      <c r="D38" s="312" t="s">
        <v>1655</v>
      </c>
      <c r="E38" s="889">
        <v>1</v>
      </c>
      <c r="F38" s="889">
        <v>0.5</v>
      </c>
      <c r="G38" s="290">
        <f t="shared" si="0"/>
        <v>50</v>
      </c>
      <c r="H38" s="122">
        <v>0</v>
      </c>
      <c r="I38" s="311">
        <v>0</v>
      </c>
      <c r="J38" s="290"/>
    </row>
    <row r="39" spans="1:10" ht="27" customHeight="1" x14ac:dyDescent="0.2">
      <c r="A39" s="40">
        <v>8</v>
      </c>
      <c r="B39" s="308" t="s">
        <v>245</v>
      </c>
      <c r="C39" s="162"/>
      <c r="D39" s="162"/>
      <c r="E39" s="37"/>
      <c r="F39" s="37"/>
      <c r="G39" s="37"/>
      <c r="H39" s="39">
        <f>SUM(H40:H42)</f>
        <v>50</v>
      </c>
      <c r="I39" s="313">
        <f>SUM(I40:I42)</f>
        <v>50</v>
      </c>
      <c r="J39" s="303">
        <f t="shared" si="1"/>
        <v>100</v>
      </c>
    </row>
    <row r="40" spans="1:10" ht="29.25" customHeight="1" x14ac:dyDescent="0.2">
      <c r="A40" s="351">
        <v>8.1</v>
      </c>
      <c r="B40" s="310" t="s">
        <v>1656</v>
      </c>
      <c r="C40" s="312" t="s">
        <v>218</v>
      </c>
      <c r="D40" s="312" t="s">
        <v>220</v>
      </c>
      <c r="E40" s="889">
        <v>2</v>
      </c>
      <c r="F40" s="889">
        <v>2</v>
      </c>
      <c r="G40" s="290">
        <f t="shared" si="0"/>
        <v>100</v>
      </c>
      <c r="H40" s="122">
        <v>50</v>
      </c>
      <c r="I40" s="311">
        <v>50</v>
      </c>
      <c r="J40" s="290">
        <f t="shared" si="1"/>
        <v>100</v>
      </c>
    </row>
    <row r="41" spans="1:10" ht="31.5" customHeight="1" x14ac:dyDescent="0.2">
      <c r="A41" s="351">
        <v>8.1999999999999993</v>
      </c>
      <c r="B41" s="310" t="s">
        <v>246</v>
      </c>
      <c r="C41" s="312" t="s">
        <v>46</v>
      </c>
      <c r="D41" s="312" t="s">
        <v>243</v>
      </c>
      <c r="E41" s="889">
        <v>2</v>
      </c>
      <c r="F41" s="889">
        <v>2</v>
      </c>
      <c r="G41" s="290">
        <f t="shared" si="0"/>
        <v>100</v>
      </c>
      <c r="H41" s="122"/>
      <c r="I41" s="311"/>
      <c r="J41" s="290"/>
    </row>
    <row r="42" spans="1:10" ht="40.5" customHeight="1" x14ac:dyDescent="0.2">
      <c r="A42" s="351">
        <v>8.3000000000000007</v>
      </c>
      <c r="B42" s="310" t="s">
        <v>247</v>
      </c>
      <c r="C42" s="312" t="s">
        <v>218</v>
      </c>
      <c r="D42" s="312" t="s">
        <v>248</v>
      </c>
      <c r="E42" s="889">
        <v>1</v>
      </c>
      <c r="F42" s="889">
        <v>1</v>
      </c>
      <c r="G42" s="290">
        <f t="shared" si="0"/>
        <v>100</v>
      </c>
      <c r="H42" s="122"/>
      <c r="I42" s="311"/>
      <c r="J42" s="290"/>
    </row>
    <row r="43" spans="1:10" ht="39" customHeight="1" x14ac:dyDescent="0.2">
      <c r="A43" s="43">
        <v>9</v>
      </c>
      <c r="B43" s="59" t="s">
        <v>249</v>
      </c>
      <c r="C43" s="164"/>
      <c r="D43" s="164"/>
      <c r="E43" s="38"/>
      <c r="F43" s="38"/>
      <c r="G43" s="38"/>
      <c r="H43" s="45">
        <f>SUM(H44:H47)</f>
        <v>2040</v>
      </c>
      <c r="I43" s="278">
        <f>SUM(I44:I47)</f>
        <v>2040</v>
      </c>
      <c r="J43" s="316">
        <f t="shared" si="1"/>
        <v>100</v>
      </c>
    </row>
    <row r="44" spans="1:10" ht="25.5" x14ac:dyDescent="0.2">
      <c r="A44" s="397">
        <v>9.1</v>
      </c>
      <c r="B44" s="310" t="s">
        <v>1657</v>
      </c>
      <c r="C44" s="312" t="s">
        <v>218</v>
      </c>
      <c r="D44" s="312" t="s">
        <v>1658</v>
      </c>
      <c r="E44" s="889">
        <v>2</v>
      </c>
      <c r="F44" s="889">
        <v>2</v>
      </c>
      <c r="G44" s="290">
        <f t="shared" si="0"/>
        <v>100</v>
      </c>
      <c r="H44" s="122">
        <v>320</v>
      </c>
      <c r="I44" s="311">
        <v>320</v>
      </c>
      <c r="J44" s="290">
        <f t="shared" si="1"/>
        <v>100</v>
      </c>
    </row>
    <row r="45" spans="1:10" ht="25.5" x14ac:dyDescent="0.2">
      <c r="A45" s="397">
        <v>9.1999999999999993</v>
      </c>
      <c r="B45" s="310" t="s">
        <v>1659</v>
      </c>
      <c r="C45" s="312" t="s">
        <v>46</v>
      </c>
      <c r="D45" s="312" t="s">
        <v>250</v>
      </c>
      <c r="E45" s="889">
        <v>3</v>
      </c>
      <c r="F45" s="889">
        <v>3</v>
      </c>
      <c r="G45" s="290">
        <f t="shared" si="0"/>
        <v>100</v>
      </c>
      <c r="H45" s="122">
        <v>320</v>
      </c>
      <c r="I45" s="311">
        <v>320</v>
      </c>
      <c r="J45" s="290">
        <f t="shared" si="1"/>
        <v>100</v>
      </c>
    </row>
    <row r="46" spans="1:10" ht="42.75" customHeight="1" x14ac:dyDescent="0.2">
      <c r="A46" s="397">
        <v>9.3000000000000007</v>
      </c>
      <c r="B46" s="310" t="s">
        <v>1660</v>
      </c>
      <c r="C46" s="312" t="s">
        <v>218</v>
      </c>
      <c r="D46" s="312" t="s">
        <v>243</v>
      </c>
      <c r="E46" s="889">
        <v>6</v>
      </c>
      <c r="F46" s="889">
        <v>6</v>
      </c>
      <c r="G46" s="290">
        <f t="shared" si="0"/>
        <v>100</v>
      </c>
      <c r="H46" s="122">
        <v>700</v>
      </c>
      <c r="I46" s="311">
        <v>700</v>
      </c>
      <c r="J46" s="290">
        <f t="shared" si="1"/>
        <v>100</v>
      </c>
    </row>
    <row r="47" spans="1:10" ht="27.75" customHeight="1" x14ac:dyDescent="0.2">
      <c r="A47" s="397">
        <v>9.4</v>
      </c>
      <c r="B47" s="310" t="s">
        <v>1661</v>
      </c>
      <c r="C47" s="312" t="s">
        <v>46</v>
      </c>
      <c r="D47" s="312" t="s">
        <v>222</v>
      </c>
      <c r="E47" s="889">
        <v>4</v>
      </c>
      <c r="F47" s="889">
        <v>4</v>
      </c>
      <c r="G47" s="290">
        <f t="shared" si="0"/>
        <v>100</v>
      </c>
      <c r="H47" s="122">
        <v>700</v>
      </c>
      <c r="I47" s="311">
        <v>700</v>
      </c>
      <c r="J47" s="290">
        <f t="shared" si="1"/>
        <v>100</v>
      </c>
    </row>
    <row r="48" spans="1:10" ht="24" customHeight="1" x14ac:dyDescent="0.2">
      <c r="A48" s="43">
        <v>10</v>
      </c>
      <c r="B48" s="59" t="s">
        <v>251</v>
      </c>
      <c r="C48" s="164"/>
      <c r="D48" s="164"/>
      <c r="E48" s="38"/>
      <c r="F48" s="38"/>
      <c r="G48" s="38"/>
      <c r="H48" s="45">
        <f>SUM(H49:H52)</f>
        <v>558</v>
      </c>
      <c r="I48" s="278">
        <f>SUM(I49:I52)</f>
        <v>558</v>
      </c>
      <c r="J48" s="316">
        <f t="shared" si="1"/>
        <v>100</v>
      </c>
    </row>
    <row r="49" spans="1:10" ht="21" customHeight="1" x14ac:dyDescent="0.2">
      <c r="A49" s="351">
        <v>10.1</v>
      </c>
      <c r="B49" s="310" t="s">
        <v>252</v>
      </c>
      <c r="C49" s="312" t="s">
        <v>218</v>
      </c>
      <c r="D49" s="312" t="s">
        <v>253</v>
      </c>
      <c r="E49" s="889">
        <v>1</v>
      </c>
      <c r="F49" s="889">
        <v>0</v>
      </c>
      <c r="G49" s="290">
        <f t="shared" si="0"/>
        <v>0</v>
      </c>
      <c r="H49" s="122">
        <v>0</v>
      </c>
      <c r="I49" s="311">
        <v>0</v>
      </c>
      <c r="J49" s="290"/>
    </row>
    <row r="50" spans="1:10" ht="18.75" customHeight="1" x14ac:dyDescent="0.2">
      <c r="A50" s="351">
        <v>10.199999999999999</v>
      </c>
      <c r="B50" s="310" t="s">
        <v>1662</v>
      </c>
      <c r="C50" s="312" t="s">
        <v>218</v>
      </c>
      <c r="D50" s="312" t="s">
        <v>90</v>
      </c>
      <c r="E50" s="889">
        <v>1</v>
      </c>
      <c r="F50" s="889">
        <v>0</v>
      </c>
      <c r="G50" s="290">
        <f t="shared" si="0"/>
        <v>0</v>
      </c>
      <c r="H50" s="122">
        <v>50</v>
      </c>
      <c r="I50" s="311">
        <v>50</v>
      </c>
      <c r="J50" s="290">
        <f t="shared" si="1"/>
        <v>100</v>
      </c>
    </row>
    <row r="51" spans="1:10" ht="26.25" customHeight="1" x14ac:dyDescent="0.2">
      <c r="A51" s="351">
        <v>10.3</v>
      </c>
      <c r="B51" s="310" t="s">
        <v>1663</v>
      </c>
      <c r="C51" s="312" t="s">
        <v>218</v>
      </c>
      <c r="D51" s="312" t="s">
        <v>1664</v>
      </c>
      <c r="E51" s="889">
        <v>4</v>
      </c>
      <c r="F51" s="889">
        <v>2</v>
      </c>
      <c r="G51" s="290">
        <f t="shared" si="0"/>
        <v>50</v>
      </c>
      <c r="H51" s="122">
        <v>508</v>
      </c>
      <c r="I51" s="311">
        <v>508</v>
      </c>
      <c r="J51" s="290">
        <f t="shared" si="1"/>
        <v>100</v>
      </c>
    </row>
    <row r="52" spans="1:10" ht="20.25" customHeight="1" x14ac:dyDescent="0.2">
      <c r="A52" s="351">
        <v>10.4</v>
      </c>
      <c r="B52" s="310" t="s">
        <v>254</v>
      </c>
      <c r="C52" s="312" t="s">
        <v>218</v>
      </c>
      <c r="D52" s="312" t="s">
        <v>220</v>
      </c>
      <c r="E52" s="889">
        <v>4</v>
      </c>
      <c r="F52" s="889">
        <v>2</v>
      </c>
      <c r="G52" s="290">
        <f t="shared" si="0"/>
        <v>50</v>
      </c>
      <c r="H52" s="122">
        <v>0</v>
      </c>
      <c r="I52" s="311">
        <v>0</v>
      </c>
      <c r="J52" s="290"/>
    </row>
    <row r="53" spans="1:10" ht="18.75" customHeight="1" x14ac:dyDescent="0.2">
      <c r="A53" s="43">
        <v>11</v>
      </c>
      <c r="B53" s="59" t="s">
        <v>1672</v>
      </c>
      <c r="C53" s="317"/>
      <c r="D53" s="317"/>
      <c r="E53" s="901"/>
      <c r="F53" s="901"/>
      <c r="G53" s="410"/>
      <c r="H53" s="24">
        <f>SUM(H54:H61)</f>
        <v>57127</v>
      </c>
      <c r="I53" s="318">
        <f>SUM(I54:I61)</f>
        <v>57123.740000000005</v>
      </c>
      <c r="J53" s="316">
        <f t="shared" si="1"/>
        <v>99.994293416423076</v>
      </c>
    </row>
    <row r="54" spans="1:10" ht="20.25" customHeight="1" x14ac:dyDescent="0.2">
      <c r="A54" s="36"/>
      <c r="B54" s="309" t="s">
        <v>1665</v>
      </c>
      <c r="C54" s="162" t="s">
        <v>218</v>
      </c>
      <c r="D54" s="162" t="s">
        <v>1513</v>
      </c>
      <c r="E54" s="37">
        <v>1</v>
      </c>
      <c r="F54" s="37">
        <v>1</v>
      </c>
      <c r="G54" s="290">
        <f t="shared" si="0"/>
        <v>100</v>
      </c>
      <c r="H54" s="37">
        <v>1314</v>
      </c>
      <c r="I54" s="273">
        <v>1313.94</v>
      </c>
      <c r="J54" s="290">
        <f t="shared" si="1"/>
        <v>99.995433789954333</v>
      </c>
    </row>
    <row r="55" spans="1:10" ht="20.25" customHeight="1" x14ac:dyDescent="0.2">
      <c r="A55" s="36"/>
      <c r="B55" s="309" t="s">
        <v>1666</v>
      </c>
      <c r="C55" s="162" t="s">
        <v>218</v>
      </c>
      <c r="D55" s="162" t="s">
        <v>1513</v>
      </c>
      <c r="E55" s="37">
        <v>2</v>
      </c>
      <c r="F55" s="37">
        <v>2</v>
      </c>
      <c r="G55" s="290">
        <f t="shared" si="0"/>
        <v>100</v>
      </c>
      <c r="H55" s="37">
        <v>1183</v>
      </c>
      <c r="I55" s="273">
        <v>1182.02</v>
      </c>
      <c r="J55" s="290">
        <f t="shared" si="1"/>
        <v>99.917159763313606</v>
      </c>
    </row>
    <row r="56" spans="1:10" ht="20.25" customHeight="1" x14ac:dyDescent="0.2">
      <c r="A56" s="36"/>
      <c r="B56" s="309" t="s">
        <v>1667</v>
      </c>
      <c r="C56" s="162" t="s">
        <v>46</v>
      </c>
      <c r="D56" s="162" t="s">
        <v>47</v>
      </c>
      <c r="E56" s="37">
        <v>1</v>
      </c>
      <c r="F56" s="37">
        <v>1</v>
      </c>
      <c r="G56" s="290">
        <f t="shared" si="0"/>
        <v>100</v>
      </c>
      <c r="H56" s="37">
        <v>1232</v>
      </c>
      <c r="I56" s="273">
        <v>1231.2</v>
      </c>
      <c r="J56" s="290">
        <f t="shared" si="1"/>
        <v>99.935064935064943</v>
      </c>
    </row>
    <row r="57" spans="1:10" ht="20.25" customHeight="1" x14ac:dyDescent="0.2">
      <c r="A57" s="36"/>
      <c r="B57" s="309" t="s">
        <v>1668</v>
      </c>
      <c r="C57" s="162" t="s">
        <v>46</v>
      </c>
      <c r="D57" s="162" t="s">
        <v>47</v>
      </c>
      <c r="E57" s="37">
        <v>1</v>
      </c>
      <c r="F57" s="37">
        <v>1</v>
      </c>
      <c r="G57" s="290">
        <f t="shared" si="0"/>
        <v>100</v>
      </c>
      <c r="H57" s="37">
        <v>30963</v>
      </c>
      <c r="I57" s="273">
        <v>30962.080000000002</v>
      </c>
      <c r="J57" s="290">
        <f t="shared" si="1"/>
        <v>99.997028711688145</v>
      </c>
    </row>
    <row r="58" spans="1:10" ht="20.25" customHeight="1" x14ac:dyDescent="0.2">
      <c r="A58" s="299"/>
      <c r="B58" s="309" t="s">
        <v>1669</v>
      </c>
      <c r="C58" s="162" t="s">
        <v>218</v>
      </c>
      <c r="D58" s="162" t="s">
        <v>1513</v>
      </c>
      <c r="E58" s="37">
        <v>1</v>
      </c>
      <c r="F58" s="37">
        <v>1</v>
      </c>
      <c r="G58" s="290">
        <f t="shared" si="0"/>
        <v>100</v>
      </c>
      <c r="H58" s="37">
        <v>5417</v>
      </c>
      <c r="I58" s="273">
        <v>5417</v>
      </c>
      <c r="J58" s="290">
        <f t="shared" si="1"/>
        <v>100</v>
      </c>
    </row>
    <row r="59" spans="1:10" ht="20.25" customHeight="1" x14ac:dyDescent="0.2">
      <c r="A59" s="299"/>
      <c r="B59" s="309" t="s">
        <v>1670</v>
      </c>
      <c r="C59" s="162" t="s">
        <v>218</v>
      </c>
      <c r="D59" s="162" t="s">
        <v>1513</v>
      </c>
      <c r="E59" s="37">
        <v>1</v>
      </c>
      <c r="F59" s="37">
        <v>1</v>
      </c>
      <c r="G59" s="290">
        <f t="shared" si="0"/>
        <v>100</v>
      </c>
      <c r="H59" s="37">
        <v>3020</v>
      </c>
      <c r="I59" s="273">
        <v>3020</v>
      </c>
      <c r="J59" s="290">
        <f t="shared" si="1"/>
        <v>100</v>
      </c>
    </row>
    <row r="60" spans="1:10" ht="20.25" customHeight="1" x14ac:dyDescent="0.2">
      <c r="A60" s="299"/>
      <c r="B60" s="309" t="s">
        <v>1671</v>
      </c>
      <c r="C60" s="162" t="s">
        <v>218</v>
      </c>
      <c r="D60" s="162" t="s">
        <v>1513</v>
      </c>
      <c r="E60" s="37">
        <v>1</v>
      </c>
      <c r="F60" s="37">
        <v>1</v>
      </c>
      <c r="G60" s="290">
        <f t="shared" si="0"/>
        <v>100</v>
      </c>
      <c r="H60" s="37">
        <v>1998</v>
      </c>
      <c r="I60" s="273">
        <v>1997.5</v>
      </c>
      <c r="J60" s="290">
        <f t="shared" si="1"/>
        <v>99.97497497497497</v>
      </c>
    </row>
    <row r="61" spans="1:10" ht="20.25" customHeight="1" x14ac:dyDescent="0.2">
      <c r="A61" s="299"/>
      <c r="B61" s="309" t="s">
        <v>2003</v>
      </c>
      <c r="C61" s="162" t="s">
        <v>218</v>
      </c>
      <c r="D61" s="162" t="s">
        <v>1513</v>
      </c>
      <c r="E61" s="37">
        <v>1</v>
      </c>
      <c r="F61" s="37">
        <v>1</v>
      </c>
      <c r="G61" s="290">
        <f t="shared" si="0"/>
        <v>100</v>
      </c>
      <c r="H61" s="37">
        <v>12000</v>
      </c>
      <c r="I61" s="273">
        <v>12000</v>
      </c>
      <c r="J61" s="290">
        <f t="shared" si="1"/>
        <v>100</v>
      </c>
    </row>
    <row r="62" spans="1:10" ht="20.25" customHeight="1" x14ac:dyDescent="0.2">
      <c r="A62" s="11"/>
      <c r="B62" s="412" t="s">
        <v>1713</v>
      </c>
      <c r="C62" s="413"/>
      <c r="D62" s="412"/>
      <c r="E62" s="414"/>
      <c r="F62" s="478"/>
      <c r="G62" s="414"/>
      <c r="H62" s="478">
        <f>+H63+H67+H71+H76+H83+H87+H90+H92</f>
        <v>136947</v>
      </c>
      <c r="I62" s="393">
        <f>+I63+I67+I71+I76+I83+I87+I90+I92</f>
        <v>136944.51999999999</v>
      </c>
      <c r="J62" s="314">
        <f>I62/H62%</f>
        <v>99.998189080447176</v>
      </c>
    </row>
    <row r="63" spans="1:10" ht="27" customHeight="1" x14ac:dyDescent="0.2">
      <c r="A63" s="415">
        <v>1</v>
      </c>
      <c r="B63" s="416" t="s">
        <v>1714</v>
      </c>
      <c r="C63" s="417"/>
      <c r="D63" s="418"/>
      <c r="E63" s="419"/>
      <c r="F63" s="420"/>
      <c r="G63" s="419"/>
      <c r="H63" s="420">
        <f>SUM(H64:H65)</f>
        <v>12421.1</v>
      </c>
      <c r="I63" s="421">
        <f>SUM(I64:I65)</f>
        <v>12418.62</v>
      </c>
      <c r="J63" s="316">
        <f>I63/H63%</f>
        <v>99.980033974446712</v>
      </c>
    </row>
    <row r="64" spans="1:10" ht="26.25" customHeight="1" x14ac:dyDescent="0.2">
      <c r="A64" s="322">
        <v>1.1000000000000001</v>
      </c>
      <c r="B64" s="321" t="s">
        <v>1715</v>
      </c>
      <c r="C64" s="162" t="s">
        <v>2002</v>
      </c>
      <c r="D64" s="153" t="s">
        <v>1716</v>
      </c>
      <c r="E64" s="37">
        <v>2</v>
      </c>
      <c r="F64" s="37">
        <v>2</v>
      </c>
      <c r="G64" s="290">
        <f t="shared" ref="G64:G70" si="2">F64/E64%</f>
        <v>100</v>
      </c>
      <c r="H64" s="339">
        <f>2000+2.48</f>
        <v>2002.48</v>
      </c>
      <c r="I64" s="273">
        <v>2000</v>
      </c>
      <c r="J64" s="290">
        <f>I64/H64%</f>
        <v>99.876153569573731</v>
      </c>
    </row>
    <row r="65" spans="1:10" ht="39.75" customHeight="1" x14ac:dyDescent="0.2">
      <c r="A65" s="322">
        <v>1.2</v>
      </c>
      <c r="B65" s="321" t="s">
        <v>1745</v>
      </c>
      <c r="C65" s="162" t="s">
        <v>1079</v>
      </c>
      <c r="D65" s="153" t="s">
        <v>1664</v>
      </c>
      <c r="E65" s="37">
        <v>1</v>
      </c>
      <c r="F65" s="37">
        <v>1</v>
      </c>
      <c r="G65" s="290">
        <f t="shared" si="2"/>
        <v>100</v>
      </c>
      <c r="H65" s="37">
        <v>10418.620000000001</v>
      </c>
      <c r="I65" s="273">
        <v>10418.620000000001</v>
      </c>
      <c r="J65" s="290">
        <f>I65/H65%</f>
        <v>100</v>
      </c>
    </row>
    <row r="66" spans="1:10" ht="22.5" customHeight="1" x14ac:dyDescent="0.2">
      <c r="A66" s="322">
        <v>1.3</v>
      </c>
      <c r="B66" s="321" t="s">
        <v>1717</v>
      </c>
      <c r="C66" s="162" t="s">
        <v>1079</v>
      </c>
      <c r="D66" s="153" t="s">
        <v>1718</v>
      </c>
      <c r="E66" s="37">
        <v>1</v>
      </c>
      <c r="F66" s="37">
        <v>0</v>
      </c>
      <c r="G66" s="290">
        <f t="shared" si="2"/>
        <v>0</v>
      </c>
      <c r="H66" s="37">
        <v>0</v>
      </c>
      <c r="I66" s="273">
        <v>0</v>
      </c>
      <c r="J66" s="338">
        <v>0</v>
      </c>
    </row>
    <row r="67" spans="1:10" ht="27.75" customHeight="1" x14ac:dyDescent="0.2">
      <c r="A67" s="415">
        <v>2</v>
      </c>
      <c r="B67" s="416" t="s">
        <v>1741</v>
      </c>
      <c r="C67" s="422"/>
      <c r="D67" s="423"/>
      <c r="E67" s="424"/>
      <c r="F67" s="902"/>
      <c r="G67" s="424"/>
      <c r="H67" s="421">
        <f>SUM(H68:H70)</f>
        <v>20920</v>
      </c>
      <c r="I67" s="421">
        <f>SUM(I68:I70)</f>
        <v>20920</v>
      </c>
      <c r="J67" s="316">
        <f t="shared" ref="J67:J76" si="3">I67/H67%</f>
        <v>100</v>
      </c>
    </row>
    <row r="68" spans="1:10" ht="20.25" customHeight="1" x14ac:dyDescent="0.2">
      <c r="A68" s="322">
        <v>2.1</v>
      </c>
      <c r="B68" s="396" t="s">
        <v>1719</v>
      </c>
      <c r="C68" s="162" t="s">
        <v>1079</v>
      </c>
      <c r="D68" s="153" t="s">
        <v>90</v>
      </c>
      <c r="E68" s="37">
        <v>13</v>
      </c>
      <c r="F68" s="37">
        <v>12</v>
      </c>
      <c r="G68" s="290">
        <f t="shared" si="2"/>
        <v>92.307692307692307</v>
      </c>
      <c r="H68" s="37">
        <v>16020</v>
      </c>
      <c r="I68" s="273">
        <v>16020</v>
      </c>
      <c r="J68" s="290">
        <f t="shared" si="3"/>
        <v>100</v>
      </c>
    </row>
    <row r="69" spans="1:10" ht="20.25" customHeight="1" x14ac:dyDescent="0.2">
      <c r="A69" s="322">
        <v>2.2000000000000002</v>
      </c>
      <c r="B69" s="396" t="s">
        <v>1740</v>
      </c>
      <c r="C69" s="162" t="s">
        <v>1079</v>
      </c>
      <c r="D69" s="153" t="s">
        <v>90</v>
      </c>
      <c r="E69" s="37">
        <v>1</v>
      </c>
      <c r="F69" s="37">
        <v>1</v>
      </c>
      <c r="G69" s="290">
        <f t="shared" si="2"/>
        <v>100</v>
      </c>
      <c r="H69" s="37">
        <v>4400</v>
      </c>
      <c r="I69" s="273">
        <v>4400</v>
      </c>
      <c r="J69" s="290">
        <f t="shared" si="3"/>
        <v>100</v>
      </c>
    </row>
    <row r="70" spans="1:10" ht="28.5" customHeight="1" x14ac:dyDescent="0.2">
      <c r="A70" s="322">
        <v>2.2999999999999998</v>
      </c>
      <c r="B70" s="396" t="s">
        <v>1720</v>
      </c>
      <c r="C70" s="162" t="s">
        <v>1079</v>
      </c>
      <c r="D70" s="153" t="s">
        <v>462</v>
      </c>
      <c r="E70" s="37">
        <v>1</v>
      </c>
      <c r="F70" s="37">
        <v>1</v>
      </c>
      <c r="G70" s="290">
        <f t="shared" si="2"/>
        <v>100</v>
      </c>
      <c r="H70" s="37">
        <v>500</v>
      </c>
      <c r="I70" s="273">
        <v>500</v>
      </c>
      <c r="J70" s="290">
        <f t="shared" si="3"/>
        <v>100</v>
      </c>
    </row>
    <row r="71" spans="1:10" ht="28.5" customHeight="1" x14ac:dyDescent="0.2">
      <c r="A71" s="415">
        <v>3</v>
      </c>
      <c r="B71" s="416" t="s">
        <v>1744</v>
      </c>
      <c r="C71" s="425"/>
      <c r="D71" s="426"/>
      <c r="E71" s="427"/>
      <c r="F71" s="903"/>
      <c r="G71" s="427"/>
      <c r="H71" s="420">
        <f>SUM(H72:H75)</f>
        <v>9993</v>
      </c>
      <c r="I71" s="421">
        <f>SUM(I72:I75)</f>
        <v>9993</v>
      </c>
      <c r="J71" s="316">
        <f t="shared" si="3"/>
        <v>100</v>
      </c>
    </row>
    <row r="72" spans="1:10" ht="42.75" customHeight="1" x14ac:dyDescent="0.2">
      <c r="A72" s="397">
        <v>3.1</v>
      </c>
      <c r="B72" s="396" t="s">
        <v>1721</v>
      </c>
      <c r="C72" s="162" t="s">
        <v>1079</v>
      </c>
      <c r="D72" s="153" t="s">
        <v>522</v>
      </c>
      <c r="E72" s="37">
        <v>1</v>
      </c>
      <c r="F72" s="37">
        <v>1</v>
      </c>
      <c r="G72" s="290">
        <f t="shared" ref="G72:G97" si="4">F72/E72%</f>
        <v>100</v>
      </c>
      <c r="H72" s="37">
        <v>1410</v>
      </c>
      <c r="I72" s="273">
        <v>1410</v>
      </c>
      <c r="J72" s="290">
        <f t="shared" ref="J72:J97" si="5">I72/H72%</f>
        <v>100</v>
      </c>
    </row>
    <row r="73" spans="1:10" ht="32.25" customHeight="1" x14ac:dyDescent="0.2">
      <c r="A73" s="397">
        <v>3.2</v>
      </c>
      <c r="B73" s="396" t="s">
        <v>1747</v>
      </c>
      <c r="C73" s="162" t="s">
        <v>1079</v>
      </c>
      <c r="D73" s="153" t="s">
        <v>463</v>
      </c>
      <c r="E73" s="37">
        <v>2</v>
      </c>
      <c r="F73" s="37">
        <v>3</v>
      </c>
      <c r="G73" s="290">
        <f t="shared" si="4"/>
        <v>150</v>
      </c>
      <c r="H73" s="37">
        <v>5957</v>
      </c>
      <c r="I73" s="273">
        <v>5957</v>
      </c>
      <c r="J73" s="290">
        <f t="shared" si="5"/>
        <v>100</v>
      </c>
    </row>
    <row r="74" spans="1:10" ht="35.25" customHeight="1" x14ac:dyDescent="0.2">
      <c r="A74" s="397">
        <v>3.3</v>
      </c>
      <c r="B74" s="396" t="s">
        <v>1722</v>
      </c>
      <c r="C74" s="162" t="s">
        <v>1079</v>
      </c>
      <c r="D74" s="153" t="s">
        <v>90</v>
      </c>
      <c r="E74" s="37">
        <v>5</v>
      </c>
      <c r="F74" s="37">
        <v>5</v>
      </c>
      <c r="G74" s="290">
        <f t="shared" si="4"/>
        <v>100</v>
      </c>
      <c r="H74" s="37">
        <v>2026</v>
      </c>
      <c r="I74" s="273">
        <v>2026</v>
      </c>
      <c r="J74" s="290">
        <f t="shared" si="5"/>
        <v>99.999999999999986</v>
      </c>
    </row>
    <row r="75" spans="1:10" ht="32.25" customHeight="1" x14ac:dyDescent="0.2">
      <c r="A75" s="397">
        <v>3.4</v>
      </c>
      <c r="B75" s="396" t="s">
        <v>1723</v>
      </c>
      <c r="C75" s="162" t="s">
        <v>1079</v>
      </c>
      <c r="D75" s="153" t="s">
        <v>1724</v>
      </c>
      <c r="E75" s="37">
        <v>2</v>
      </c>
      <c r="F75" s="37">
        <v>2</v>
      </c>
      <c r="G75" s="290">
        <f t="shared" si="4"/>
        <v>100</v>
      </c>
      <c r="H75" s="37">
        <v>600</v>
      </c>
      <c r="I75" s="273">
        <v>600</v>
      </c>
      <c r="J75" s="290">
        <f t="shared" si="5"/>
        <v>100</v>
      </c>
    </row>
    <row r="76" spans="1:10" ht="25.5" customHeight="1" x14ac:dyDescent="0.2">
      <c r="A76" s="415">
        <v>4</v>
      </c>
      <c r="B76" s="416" t="s">
        <v>1742</v>
      </c>
      <c r="C76" s="417"/>
      <c r="D76" s="418"/>
      <c r="E76" s="419"/>
      <c r="F76" s="420"/>
      <c r="G76" s="419"/>
      <c r="H76" s="420">
        <f>SUM(H77:H82)</f>
        <v>4736</v>
      </c>
      <c r="I76" s="421">
        <f>SUM(I77:I82)</f>
        <v>4736</v>
      </c>
      <c r="J76" s="316">
        <f t="shared" si="3"/>
        <v>100</v>
      </c>
    </row>
    <row r="77" spans="1:10" ht="24" customHeight="1" x14ac:dyDescent="0.2">
      <c r="A77" s="397">
        <v>4.0999999999999996</v>
      </c>
      <c r="B77" s="438" t="s">
        <v>1748</v>
      </c>
      <c r="C77" s="162" t="s">
        <v>1079</v>
      </c>
      <c r="D77" s="153" t="s">
        <v>220</v>
      </c>
      <c r="E77" s="37">
        <v>1</v>
      </c>
      <c r="F77" s="37">
        <v>1</v>
      </c>
      <c r="G77" s="290">
        <f t="shared" si="4"/>
        <v>100</v>
      </c>
      <c r="H77" s="37">
        <v>200</v>
      </c>
      <c r="I77" s="273">
        <v>200</v>
      </c>
      <c r="J77" s="290">
        <f t="shared" si="5"/>
        <v>100</v>
      </c>
    </row>
    <row r="78" spans="1:10" ht="20.25" customHeight="1" x14ac:dyDescent="0.2">
      <c r="A78" s="397">
        <v>4.2</v>
      </c>
      <c r="B78" s="396" t="s">
        <v>1725</v>
      </c>
      <c r="C78" s="162" t="s">
        <v>1079</v>
      </c>
      <c r="D78" s="153" t="s">
        <v>1726</v>
      </c>
      <c r="E78" s="37">
        <v>8</v>
      </c>
      <c r="F78" s="37">
        <v>8</v>
      </c>
      <c r="G78" s="290">
        <f t="shared" si="4"/>
        <v>100</v>
      </c>
      <c r="H78" s="37">
        <v>2292</v>
      </c>
      <c r="I78" s="273">
        <v>2292</v>
      </c>
      <c r="J78" s="290">
        <f t="shared" si="5"/>
        <v>99.999999999999986</v>
      </c>
    </row>
    <row r="79" spans="1:10" ht="20.25" customHeight="1" x14ac:dyDescent="0.2">
      <c r="A79" s="397">
        <v>4.3</v>
      </c>
      <c r="B79" s="396" t="s">
        <v>1727</v>
      </c>
      <c r="C79" s="162" t="s">
        <v>1079</v>
      </c>
      <c r="D79" s="153" t="s">
        <v>470</v>
      </c>
      <c r="E79" s="37">
        <v>1</v>
      </c>
      <c r="F79" s="37">
        <v>1</v>
      </c>
      <c r="G79" s="290">
        <f t="shared" si="4"/>
        <v>100</v>
      </c>
      <c r="H79" s="37">
        <v>1501</v>
      </c>
      <c r="I79" s="273">
        <v>1501</v>
      </c>
      <c r="J79" s="290">
        <f t="shared" si="5"/>
        <v>100</v>
      </c>
    </row>
    <row r="80" spans="1:10" ht="27" customHeight="1" x14ac:dyDescent="0.2">
      <c r="A80" s="397">
        <v>4.4000000000000004</v>
      </c>
      <c r="B80" s="396" t="s">
        <v>1728</v>
      </c>
      <c r="C80" s="162" t="s">
        <v>1079</v>
      </c>
      <c r="D80" s="153" t="s">
        <v>220</v>
      </c>
      <c r="E80" s="37">
        <v>1</v>
      </c>
      <c r="F80" s="37">
        <v>0</v>
      </c>
      <c r="G80" s="290">
        <f t="shared" si="4"/>
        <v>0</v>
      </c>
      <c r="H80" s="37">
        <v>0</v>
      </c>
      <c r="I80" s="273">
        <v>0</v>
      </c>
      <c r="J80" s="290"/>
    </row>
    <row r="81" spans="1:10" ht="29.25" customHeight="1" x14ac:dyDescent="0.2">
      <c r="A81" s="397">
        <v>4.5</v>
      </c>
      <c r="B81" s="396" t="s">
        <v>1729</v>
      </c>
      <c r="C81" s="162" t="s">
        <v>1079</v>
      </c>
      <c r="D81" s="153" t="s">
        <v>220</v>
      </c>
      <c r="E81" s="37">
        <v>2</v>
      </c>
      <c r="F81" s="37">
        <v>2</v>
      </c>
      <c r="G81" s="290">
        <f t="shared" si="4"/>
        <v>100</v>
      </c>
      <c r="H81" s="37">
        <v>743</v>
      </c>
      <c r="I81" s="273">
        <v>743</v>
      </c>
      <c r="J81" s="290">
        <f t="shared" si="5"/>
        <v>100</v>
      </c>
    </row>
    <row r="82" spans="1:10" ht="27" customHeight="1" x14ac:dyDescent="0.2">
      <c r="A82" s="397">
        <v>4.5999999999999996</v>
      </c>
      <c r="B82" s="396" t="s">
        <v>1730</v>
      </c>
      <c r="C82" s="162" t="s">
        <v>1079</v>
      </c>
      <c r="D82" s="153" t="s">
        <v>521</v>
      </c>
      <c r="E82" s="37">
        <v>3</v>
      </c>
      <c r="F82" s="37">
        <v>0</v>
      </c>
      <c r="G82" s="290">
        <f t="shared" si="4"/>
        <v>0</v>
      </c>
      <c r="H82" s="37">
        <v>0</v>
      </c>
      <c r="I82" s="273">
        <v>0</v>
      </c>
      <c r="J82" s="290"/>
    </row>
    <row r="83" spans="1:10" ht="28.5" customHeight="1" x14ac:dyDescent="0.2">
      <c r="A83" s="415">
        <v>5</v>
      </c>
      <c r="B83" s="416" t="s">
        <v>1743</v>
      </c>
      <c r="C83" s="417"/>
      <c r="D83" s="418"/>
      <c r="E83" s="419"/>
      <c r="F83" s="420"/>
      <c r="G83" s="419"/>
      <c r="H83" s="420">
        <f>SUM(H84:H86)</f>
        <v>1100</v>
      </c>
      <c r="I83" s="421">
        <f>SUM(I84:I86)</f>
        <v>1100</v>
      </c>
      <c r="J83" s="316">
        <f t="shared" si="5"/>
        <v>100</v>
      </c>
    </row>
    <row r="84" spans="1:10" ht="38.25" customHeight="1" x14ac:dyDescent="0.2">
      <c r="A84" s="397">
        <v>5.0999999999999996</v>
      </c>
      <c r="B84" s="396" t="s">
        <v>1731</v>
      </c>
      <c r="C84" s="162" t="s">
        <v>1079</v>
      </c>
      <c r="D84" s="153" t="s">
        <v>220</v>
      </c>
      <c r="E84" s="37">
        <v>1</v>
      </c>
      <c r="F84" s="37">
        <v>1</v>
      </c>
      <c r="G84" s="290">
        <f t="shared" si="4"/>
        <v>100</v>
      </c>
      <c r="H84" s="37">
        <v>300</v>
      </c>
      <c r="I84" s="273">
        <v>300</v>
      </c>
      <c r="J84" s="290">
        <f t="shared" si="5"/>
        <v>100</v>
      </c>
    </row>
    <row r="85" spans="1:10" ht="23.25" customHeight="1" x14ac:dyDescent="0.2">
      <c r="A85" s="397">
        <v>5.2</v>
      </c>
      <c r="B85" s="396" t="s">
        <v>1732</v>
      </c>
      <c r="C85" s="162" t="s">
        <v>1079</v>
      </c>
      <c r="D85" s="153" t="s">
        <v>468</v>
      </c>
      <c r="E85" s="37">
        <v>2</v>
      </c>
      <c r="F85" s="37">
        <v>1</v>
      </c>
      <c r="G85" s="290">
        <f t="shared" si="4"/>
        <v>50</v>
      </c>
      <c r="H85" s="37">
        <v>300</v>
      </c>
      <c r="I85" s="273">
        <v>300</v>
      </c>
      <c r="J85" s="290">
        <f t="shared" si="5"/>
        <v>100</v>
      </c>
    </row>
    <row r="86" spans="1:10" ht="27.75" customHeight="1" x14ac:dyDescent="0.2">
      <c r="A86" s="397">
        <v>5.3</v>
      </c>
      <c r="B86" s="396" t="s">
        <v>1733</v>
      </c>
      <c r="C86" s="153" t="s">
        <v>1079</v>
      </c>
      <c r="D86" s="153" t="s">
        <v>984</v>
      </c>
      <c r="E86" s="37">
        <v>1</v>
      </c>
      <c r="F86" s="37">
        <v>1</v>
      </c>
      <c r="G86" s="290">
        <f t="shared" si="4"/>
        <v>100</v>
      </c>
      <c r="H86" s="37">
        <v>500</v>
      </c>
      <c r="I86" s="273">
        <v>500</v>
      </c>
      <c r="J86" s="290">
        <f t="shared" si="5"/>
        <v>100</v>
      </c>
    </row>
    <row r="87" spans="1:10" ht="26.25" customHeight="1" x14ac:dyDescent="0.2">
      <c r="A87" s="415">
        <v>6</v>
      </c>
      <c r="B87" s="416" t="s">
        <v>2013</v>
      </c>
      <c r="C87" s="417"/>
      <c r="D87" s="418"/>
      <c r="E87" s="419"/>
      <c r="F87" s="420"/>
      <c r="G87" s="419"/>
      <c r="H87" s="420">
        <f>SUM(H88:H89)</f>
        <v>400</v>
      </c>
      <c r="I87" s="421">
        <f>SUM(I88:I89)</f>
        <v>400</v>
      </c>
      <c r="J87" s="316">
        <f t="shared" si="5"/>
        <v>100</v>
      </c>
    </row>
    <row r="88" spans="1:10" ht="28.5" customHeight="1" x14ac:dyDescent="0.2">
      <c r="A88" s="397">
        <v>6.1</v>
      </c>
      <c r="B88" s="396" t="s">
        <v>464</v>
      </c>
      <c r="C88" s="153" t="s">
        <v>1079</v>
      </c>
      <c r="D88" s="153" t="s">
        <v>90</v>
      </c>
      <c r="E88" s="37">
        <v>4</v>
      </c>
      <c r="F88" s="37">
        <v>4</v>
      </c>
      <c r="G88" s="290">
        <f t="shared" si="4"/>
        <v>100</v>
      </c>
      <c r="H88" s="37">
        <v>200</v>
      </c>
      <c r="I88" s="273">
        <v>200</v>
      </c>
      <c r="J88" s="290">
        <f t="shared" si="5"/>
        <v>100</v>
      </c>
    </row>
    <row r="89" spans="1:10" ht="40.5" customHeight="1" x14ac:dyDescent="0.2">
      <c r="A89" s="397">
        <v>6.2</v>
      </c>
      <c r="B89" s="396" t="s">
        <v>1734</v>
      </c>
      <c r="C89" s="153" t="s">
        <v>1079</v>
      </c>
      <c r="D89" s="153" t="s">
        <v>90</v>
      </c>
      <c r="E89" s="37">
        <v>1</v>
      </c>
      <c r="F89" s="37">
        <v>1</v>
      </c>
      <c r="G89" s="290">
        <f t="shared" si="4"/>
        <v>100</v>
      </c>
      <c r="H89" s="37">
        <v>200</v>
      </c>
      <c r="I89" s="273">
        <v>200</v>
      </c>
      <c r="J89" s="290">
        <f t="shared" si="5"/>
        <v>100</v>
      </c>
    </row>
    <row r="90" spans="1:10" ht="28.5" customHeight="1" x14ac:dyDescent="0.2">
      <c r="A90" s="324">
        <v>7</v>
      </c>
      <c r="B90" s="416" t="s">
        <v>1735</v>
      </c>
      <c r="C90" s="428"/>
      <c r="D90" s="429"/>
      <c r="E90" s="430"/>
      <c r="F90" s="431"/>
      <c r="G90" s="430"/>
      <c r="H90" s="431">
        <f>+H91</f>
        <v>900</v>
      </c>
      <c r="I90" s="432">
        <f>+I91</f>
        <v>900</v>
      </c>
      <c r="J90" s="316">
        <f t="shared" si="5"/>
        <v>100</v>
      </c>
    </row>
    <row r="91" spans="1:10" ht="24.75" customHeight="1" x14ac:dyDescent="0.2">
      <c r="A91" s="147">
        <v>7.1</v>
      </c>
      <c r="B91" s="398" t="s">
        <v>1736</v>
      </c>
      <c r="C91" s="162" t="s">
        <v>46</v>
      </c>
      <c r="D91" s="153" t="s">
        <v>220</v>
      </c>
      <c r="E91" s="37">
        <v>1</v>
      </c>
      <c r="F91" s="37">
        <v>1</v>
      </c>
      <c r="G91" s="290">
        <f t="shared" si="4"/>
        <v>100</v>
      </c>
      <c r="H91" s="37">
        <v>900</v>
      </c>
      <c r="I91" s="142">
        <v>900</v>
      </c>
      <c r="J91" s="290">
        <f t="shared" si="5"/>
        <v>100</v>
      </c>
    </row>
    <row r="92" spans="1:10" ht="27" customHeight="1" x14ac:dyDescent="0.2">
      <c r="A92" s="324">
        <v>8</v>
      </c>
      <c r="B92" s="416" t="s">
        <v>1737</v>
      </c>
      <c r="C92" s="433"/>
      <c r="D92" s="434"/>
      <c r="E92" s="435"/>
      <c r="F92" s="904"/>
      <c r="G92" s="435"/>
      <c r="H92" s="431">
        <f>SUM(H93:H97)</f>
        <v>86476.9</v>
      </c>
      <c r="I92" s="431">
        <f>SUM(I93:I97)</f>
        <v>86476.9</v>
      </c>
      <c r="J92" s="316">
        <f t="shared" si="5"/>
        <v>100</v>
      </c>
    </row>
    <row r="93" spans="1:10" ht="25.5" customHeight="1" x14ac:dyDescent="0.2">
      <c r="A93" s="147">
        <v>8.1</v>
      </c>
      <c r="B93" s="396" t="s">
        <v>465</v>
      </c>
      <c r="C93" s="162" t="s">
        <v>46</v>
      </c>
      <c r="D93" s="160" t="s">
        <v>90</v>
      </c>
      <c r="E93" s="37">
        <v>1</v>
      </c>
      <c r="F93" s="37">
        <v>1</v>
      </c>
      <c r="G93" s="290">
        <f t="shared" si="4"/>
        <v>100</v>
      </c>
      <c r="H93" s="37">
        <v>300</v>
      </c>
      <c r="I93" s="273">
        <v>300</v>
      </c>
      <c r="J93" s="290">
        <f t="shared" si="5"/>
        <v>100</v>
      </c>
    </row>
    <row r="94" spans="1:10" ht="27" customHeight="1" x14ac:dyDescent="0.2">
      <c r="A94" s="147">
        <v>8.1999999999999993</v>
      </c>
      <c r="B94" s="396" t="s">
        <v>1738</v>
      </c>
      <c r="C94" s="162" t="s">
        <v>46</v>
      </c>
      <c r="D94" s="153" t="s">
        <v>239</v>
      </c>
      <c r="E94" s="37">
        <v>1</v>
      </c>
      <c r="F94" s="37">
        <v>1</v>
      </c>
      <c r="G94" s="290">
        <f t="shared" si="4"/>
        <v>100</v>
      </c>
      <c r="H94" s="37">
        <v>400</v>
      </c>
      <c r="I94" s="273">
        <v>400</v>
      </c>
      <c r="J94" s="290">
        <f t="shared" si="5"/>
        <v>100</v>
      </c>
    </row>
    <row r="95" spans="1:10" ht="20.25" customHeight="1" x14ac:dyDescent="0.2">
      <c r="A95" s="324">
        <v>9</v>
      </c>
      <c r="B95" s="17" t="s">
        <v>1999</v>
      </c>
      <c r="C95" s="163" t="s">
        <v>46</v>
      </c>
      <c r="D95" s="436" t="s">
        <v>466</v>
      </c>
      <c r="E95" s="39">
        <v>2</v>
      </c>
      <c r="F95" s="39">
        <v>2</v>
      </c>
      <c r="G95" s="303">
        <f t="shared" si="4"/>
        <v>100</v>
      </c>
      <c r="H95" s="39">
        <v>47384.9</v>
      </c>
      <c r="I95" s="313">
        <v>47384.9</v>
      </c>
      <c r="J95" s="303">
        <f t="shared" si="5"/>
        <v>100</v>
      </c>
    </row>
    <row r="96" spans="1:10" ht="20.25" customHeight="1" x14ac:dyDescent="0.2">
      <c r="A96" s="147">
        <v>9.1</v>
      </c>
      <c r="B96" s="321" t="s">
        <v>2000</v>
      </c>
      <c r="C96" s="162" t="s">
        <v>46</v>
      </c>
      <c r="D96" s="153" t="s">
        <v>47</v>
      </c>
      <c r="E96" s="37">
        <v>2</v>
      </c>
      <c r="F96" s="37">
        <v>2</v>
      </c>
      <c r="G96" s="290">
        <f t="shared" si="4"/>
        <v>100</v>
      </c>
      <c r="H96" s="37">
        <v>2042</v>
      </c>
      <c r="I96" s="273">
        <v>2042</v>
      </c>
      <c r="J96" s="290">
        <f t="shared" si="5"/>
        <v>99.999999999999986</v>
      </c>
    </row>
    <row r="97" spans="1:10" ht="20.25" customHeight="1" x14ac:dyDescent="0.2">
      <c r="A97" s="43">
        <v>10</v>
      </c>
      <c r="B97" s="371" t="s">
        <v>1080</v>
      </c>
      <c r="C97" s="372" t="s">
        <v>46</v>
      </c>
      <c r="D97" s="437" t="s">
        <v>1739</v>
      </c>
      <c r="E97" s="45">
        <v>6</v>
      </c>
      <c r="F97" s="45">
        <v>6</v>
      </c>
      <c r="G97" s="316">
        <f t="shared" si="4"/>
        <v>100</v>
      </c>
      <c r="H97" s="45">
        <v>36350</v>
      </c>
      <c r="I97" s="278">
        <v>36350</v>
      </c>
      <c r="J97" s="316">
        <f t="shared" si="5"/>
        <v>100</v>
      </c>
    </row>
    <row r="98" spans="1:10" ht="27" customHeight="1" x14ac:dyDescent="0.2">
      <c r="A98" s="1011" t="s">
        <v>2281</v>
      </c>
      <c r="B98" s="1012"/>
      <c r="C98" s="354"/>
      <c r="D98" s="340"/>
      <c r="E98" s="405"/>
      <c r="F98" s="325"/>
      <c r="G98" s="405"/>
      <c r="H98" s="400">
        <f>+H99+H121+H144+H168+H180+H227+H247+H254+H201+H243+H245</f>
        <v>334176911</v>
      </c>
      <c r="I98" s="905">
        <f>+I99+I121+I144+I168+I180+I227+I247+I254+I201+I243+I245</f>
        <v>317895883.65999997</v>
      </c>
      <c r="J98" s="403">
        <f>+I98/H98*100</f>
        <v>95.128021474828927</v>
      </c>
    </row>
    <row r="99" spans="1:10" ht="18.75" customHeight="1" x14ac:dyDescent="0.2">
      <c r="A99" s="439">
        <v>1</v>
      </c>
      <c r="B99" s="364" t="s">
        <v>255</v>
      </c>
      <c r="C99" s="446"/>
      <c r="D99" s="446"/>
      <c r="E99" s="906"/>
      <c r="F99" s="907"/>
      <c r="G99" s="908"/>
      <c r="H99" s="447">
        <f>+SUM(H100:H120)</f>
        <v>96316564</v>
      </c>
      <c r="I99" s="496">
        <f>+SUM(I100:I120)</f>
        <v>89775396</v>
      </c>
      <c r="J99" s="445">
        <f>+I99/H99*100</f>
        <v>93.208678000598113</v>
      </c>
    </row>
    <row r="100" spans="1:10" ht="21.75" customHeight="1" x14ac:dyDescent="0.2">
      <c r="A100" s="492">
        <v>1.1000000000000001</v>
      </c>
      <c r="B100" s="47" t="s">
        <v>256</v>
      </c>
      <c r="C100" s="165" t="s">
        <v>40</v>
      </c>
      <c r="D100" s="165" t="s">
        <v>220</v>
      </c>
      <c r="E100" s="909">
        <v>13</v>
      </c>
      <c r="F100" s="909">
        <v>12</v>
      </c>
      <c r="G100" s="411">
        <f t="shared" ref="G100:G163" si="6">(F100*100)/E100</f>
        <v>92.307692307692307</v>
      </c>
      <c r="H100" s="401">
        <v>1182122</v>
      </c>
      <c r="I100" s="497">
        <v>1121134</v>
      </c>
      <c r="J100" s="404">
        <f>+I100/H100*100</f>
        <v>94.840803233507202</v>
      </c>
    </row>
    <row r="101" spans="1:10" ht="27.75" customHeight="1" x14ac:dyDescent="0.2">
      <c r="A101" s="492">
        <v>1.2</v>
      </c>
      <c r="B101" s="47" t="s">
        <v>1969</v>
      </c>
      <c r="C101" s="165" t="s">
        <v>40</v>
      </c>
      <c r="D101" s="165" t="s">
        <v>257</v>
      </c>
      <c r="E101" s="909">
        <v>15</v>
      </c>
      <c r="F101" s="909">
        <v>7</v>
      </c>
      <c r="G101" s="411">
        <f t="shared" si="6"/>
        <v>46.666666666666664</v>
      </c>
      <c r="H101" s="401">
        <v>242600</v>
      </c>
      <c r="I101" s="497">
        <v>219496</v>
      </c>
      <c r="J101" s="404">
        <f t="shared" ref="J101:J164" si="7">+I101/H101*100</f>
        <v>90.476504534212694</v>
      </c>
    </row>
    <row r="102" spans="1:10" ht="22.5" customHeight="1" x14ac:dyDescent="0.2">
      <c r="A102" s="492">
        <v>1.3</v>
      </c>
      <c r="B102" s="47" t="s">
        <v>258</v>
      </c>
      <c r="C102" s="165" t="s">
        <v>40</v>
      </c>
      <c r="D102" s="165" t="s">
        <v>259</v>
      </c>
      <c r="E102" s="909">
        <v>16</v>
      </c>
      <c r="F102" s="909">
        <v>16</v>
      </c>
      <c r="G102" s="411">
        <f t="shared" si="6"/>
        <v>100</v>
      </c>
      <c r="H102" s="401">
        <v>666372</v>
      </c>
      <c r="I102" s="497">
        <v>493757</v>
      </c>
      <c r="J102" s="404">
        <f t="shared" si="7"/>
        <v>74.096300564849656</v>
      </c>
    </row>
    <row r="103" spans="1:10" ht="25.5" customHeight="1" x14ac:dyDescent="0.2">
      <c r="A103" s="492">
        <v>1.4</v>
      </c>
      <c r="B103" s="47" t="s">
        <v>260</v>
      </c>
      <c r="C103" s="165" t="s">
        <v>40</v>
      </c>
      <c r="D103" s="165" t="s">
        <v>257</v>
      </c>
      <c r="E103" s="909">
        <v>127</v>
      </c>
      <c r="F103" s="909">
        <v>47</v>
      </c>
      <c r="G103" s="411">
        <f t="shared" si="6"/>
        <v>37.00787401574803</v>
      </c>
      <c r="H103" s="406">
        <v>2282493</v>
      </c>
      <c r="I103" s="498">
        <v>2279974</v>
      </c>
      <c r="J103" s="404">
        <f t="shared" si="7"/>
        <v>99.889638215757941</v>
      </c>
    </row>
    <row r="104" spans="1:10" ht="24.75" customHeight="1" x14ac:dyDescent="0.2">
      <c r="A104" s="492">
        <v>1.5</v>
      </c>
      <c r="B104" s="47" t="s">
        <v>261</v>
      </c>
      <c r="C104" s="165" t="s">
        <v>40</v>
      </c>
      <c r="D104" s="165" t="s">
        <v>262</v>
      </c>
      <c r="E104" s="909">
        <v>2099</v>
      </c>
      <c r="F104" s="909">
        <v>692</v>
      </c>
      <c r="G104" s="411">
        <f t="shared" si="6"/>
        <v>32.968080038113385</v>
      </c>
      <c r="H104" s="406">
        <v>1065392</v>
      </c>
      <c r="I104" s="498">
        <v>1033771</v>
      </c>
      <c r="J104" s="404">
        <f t="shared" si="7"/>
        <v>97.03198447144338</v>
      </c>
    </row>
    <row r="105" spans="1:10" ht="27.75" customHeight="1" x14ac:dyDescent="0.2">
      <c r="A105" s="492">
        <v>1.6</v>
      </c>
      <c r="B105" s="47" t="s">
        <v>263</v>
      </c>
      <c r="C105" s="165" t="s">
        <v>40</v>
      </c>
      <c r="D105" s="167" t="s">
        <v>264</v>
      </c>
      <c r="E105" s="909">
        <v>5069</v>
      </c>
      <c r="F105" s="909">
        <v>2574</v>
      </c>
      <c r="G105" s="411">
        <f t="shared" si="6"/>
        <v>50.779246399684354</v>
      </c>
      <c r="H105" s="406">
        <v>2844966</v>
      </c>
      <c r="I105" s="498">
        <v>2791177</v>
      </c>
      <c r="J105" s="404">
        <f t="shared" si="7"/>
        <v>98.109327141343698</v>
      </c>
    </row>
    <row r="106" spans="1:10" ht="37.5" customHeight="1" x14ac:dyDescent="0.2">
      <c r="A106" s="492">
        <v>1.7</v>
      </c>
      <c r="B106" s="47" t="s">
        <v>265</v>
      </c>
      <c r="C106" s="165" t="s">
        <v>40</v>
      </c>
      <c r="D106" s="165" t="s">
        <v>72</v>
      </c>
      <c r="E106" s="909">
        <v>102198</v>
      </c>
      <c r="F106" s="909">
        <v>36197</v>
      </c>
      <c r="G106" s="411">
        <f t="shared" si="6"/>
        <v>35.418501340535038</v>
      </c>
      <c r="H106" s="401">
        <v>3167240</v>
      </c>
      <c r="I106" s="497">
        <v>3080135</v>
      </c>
      <c r="J106" s="404">
        <f t="shared" si="7"/>
        <v>97.249813717937386</v>
      </c>
    </row>
    <row r="107" spans="1:10" ht="24.75" customHeight="1" x14ac:dyDescent="0.2">
      <c r="A107" s="492">
        <v>1.8</v>
      </c>
      <c r="B107" s="319" t="s">
        <v>266</v>
      </c>
      <c r="C107" s="165" t="s">
        <v>40</v>
      </c>
      <c r="D107" s="167" t="s">
        <v>267</v>
      </c>
      <c r="E107" s="909">
        <v>106340</v>
      </c>
      <c r="F107" s="910">
        <v>60410</v>
      </c>
      <c r="G107" s="411">
        <f t="shared" si="6"/>
        <v>56.808350573631749</v>
      </c>
      <c r="H107" s="406">
        <v>14431423</v>
      </c>
      <c r="I107" s="498">
        <v>13805752</v>
      </c>
      <c r="J107" s="404">
        <f t="shared" si="7"/>
        <v>95.664523172801466</v>
      </c>
    </row>
    <row r="108" spans="1:10" ht="24.75" customHeight="1" x14ac:dyDescent="0.2">
      <c r="A108" s="492">
        <v>1.9</v>
      </c>
      <c r="B108" s="319" t="s">
        <v>268</v>
      </c>
      <c r="C108" s="165" t="s">
        <v>40</v>
      </c>
      <c r="D108" s="167" t="s">
        <v>269</v>
      </c>
      <c r="E108" s="909">
        <v>69866</v>
      </c>
      <c r="F108" s="910">
        <v>36859</v>
      </c>
      <c r="G108" s="411">
        <f t="shared" si="6"/>
        <v>52.756705693756622</v>
      </c>
      <c r="H108" s="401">
        <v>29427785</v>
      </c>
      <c r="I108" s="498">
        <v>27031274</v>
      </c>
      <c r="J108" s="404">
        <f t="shared" si="7"/>
        <v>91.856298392828407</v>
      </c>
    </row>
    <row r="109" spans="1:10" ht="26.25" customHeight="1" x14ac:dyDescent="0.2">
      <c r="A109" s="494">
        <v>1.1000000000000001</v>
      </c>
      <c r="B109" s="46" t="s">
        <v>270</v>
      </c>
      <c r="C109" s="165" t="s">
        <v>40</v>
      </c>
      <c r="D109" s="165" t="s">
        <v>271</v>
      </c>
      <c r="E109" s="909">
        <v>72230</v>
      </c>
      <c r="F109" s="909">
        <v>51647</v>
      </c>
      <c r="G109" s="411">
        <f t="shared" si="6"/>
        <v>71.503530389035021</v>
      </c>
      <c r="H109" s="406">
        <v>3221243</v>
      </c>
      <c r="I109" s="498">
        <v>3034643</v>
      </c>
      <c r="J109" s="404">
        <f t="shared" si="7"/>
        <v>94.207205106848505</v>
      </c>
    </row>
    <row r="110" spans="1:10" ht="26.25" customHeight="1" x14ac:dyDescent="0.2">
      <c r="A110" s="492">
        <v>1.1100000000000001</v>
      </c>
      <c r="B110" s="46" t="s">
        <v>272</v>
      </c>
      <c r="C110" s="165" t="s">
        <v>40</v>
      </c>
      <c r="D110" s="167" t="s">
        <v>273</v>
      </c>
      <c r="E110" s="909">
        <v>90</v>
      </c>
      <c r="F110" s="909">
        <v>85</v>
      </c>
      <c r="G110" s="411">
        <f t="shared" si="6"/>
        <v>94.444444444444443</v>
      </c>
      <c r="H110" s="401">
        <v>450614</v>
      </c>
      <c r="I110" s="497">
        <v>450612</v>
      </c>
      <c r="J110" s="404">
        <f t="shared" si="7"/>
        <v>99.999556161149002</v>
      </c>
    </row>
    <row r="111" spans="1:10" ht="24.75" customHeight="1" x14ac:dyDescent="0.2">
      <c r="A111" s="492">
        <v>1.1200000000000001</v>
      </c>
      <c r="B111" s="46" t="s">
        <v>274</v>
      </c>
      <c r="C111" s="165" t="s">
        <v>40</v>
      </c>
      <c r="D111" s="167" t="s">
        <v>275</v>
      </c>
      <c r="E111" s="909">
        <v>7832</v>
      </c>
      <c r="F111" s="909">
        <v>3915</v>
      </c>
      <c r="G111" s="411">
        <f t="shared" si="6"/>
        <v>49.987231869254344</v>
      </c>
      <c r="H111" s="401">
        <v>1727027</v>
      </c>
      <c r="I111" s="497">
        <v>1666337</v>
      </c>
      <c r="J111" s="404">
        <f t="shared" si="7"/>
        <v>96.485868489606702</v>
      </c>
    </row>
    <row r="112" spans="1:10" ht="22.5" customHeight="1" x14ac:dyDescent="0.2">
      <c r="A112" s="492">
        <v>1.1299999999999999</v>
      </c>
      <c r="B112" s="46" t="s">
        <v>276</v>
      </c>
      <c r="C112" s="165" t="s">
        <v>40</v>
      </c>
      <c r="D112" s="167" t="s">
        <v>275</v>
      </c>
      <c r="E112" s="909">
        <v>9144</v>
      </c>
      <c r="F112" s="909">
        <v>4298</v>
      </c>
      <c r="G112" s="411">
        <f t="shared" si="6"/>
        <v>47.00349956255468</v>
      </c>
      <c r="H112" s="401">
        <v>790506</v>
      </c>
      <c r="I112" s="497">
        <v>705690</v>
      </c>
      <c r="J112" s="404">
        <f t="shared" si="7"/>
        <v>89.270669672336453</v>
      </c>
    </row>
    <row r="113" spans="1:10" ht="25.5" customHeight="1" x14ac:dyDescent="0.2">
      <c r="A113" s="492">
        <v>1.1399999999999999</v>
      </c>
      <c r="B113" s="319" t="s">
        <v>277</v>
      </c>
      <c r="C113" s="165" t="s">
        <v>40</v>
      </c>
      <c r="D113" s="167" t="s">
        <v>278</v>
      </c>
      <c r="E113" s="909">
        <v>89891</v>
      </c>
      <c r="F113" s="909">
        <v>75035</v>
      </c>
      <c r="G113" s="411">
        <f t="shared" si="6"/>
        <v>83.473317684751535</v>
      </c>
      <c r="H113" s="406">
        <v>6417958</v>
      </c>
      <c r="I113" s="498">
        <v>6197786</v>
      </c>
      <c r="J113" s="404">
        <f t="shared" si="7"/>
        <v>96.569438441323555</v>
      </c>
    </row>
    <row r="114" spans="1:10" ht="23.25" customHeight="1" x14ac:dyDescent="0.2">
      <c r="A114" s="492">
        <v>1.1499999999999999</v>
      </c>
      <c r="B114" s="46" t="s">
        <v>2005</v>
      </c>
      <c r="C114" s="165" t="s">
        <v>40</v>
      </c>
      <c r="D114" s="167" t="s">
        <v>278</v>
      </c>
      <c r="E114" s="909">
        <v>19577</v>
      </c>
      <c r="F114" s="909">
        <v>17050</v>
      </c>
      <c r="G114" s="411">
        <f t="shared" si="6"/>
        <v>87.091995709250654</v>
      </c>
      <c r="H114" s="406">
        <v>3704927</v>
      </c>
      <c r="I114" s="498">
        <v>3582788</v>
      </c>
      <c r="J114" s="404">
        <f t="shared" si="7"/>
        <v>96.703335855200393</v>
      </c>
    </row>
    <row r="115" spans="1:10" ht="20.25" customHeight="1" x14ac:dyDescent="0.2">
      <c r="A115" s="492">
        <v>1.1599999999999999</v>
      </c>
      <c r="B115" s="46" t="s">
        <v>279</v>
      </c>
      <c r="C115" s="165" t="s">
        <v>40</v>
      </c>
      <c r="D115" s="167" t="s">
        <v>278</v>
      </c>
      <c r="E115" s="909">
        <v>2103</v>
      </c>
      <c r="F115" s="909">
        <v>1552</v>
      </c>
      <c r="G115" s="411">
        <f t="shared" si="6"/>
        <v>73.79933428435568</v>
      </c>
      <c r="H115" s="406">
        <v>5002081</v>
      </c>
      <c r="I115" s="498">
        <v>4762276</v>
      </c>
      <c r="J115" s="404">
        <f t="shared" si="7"/>
        <v>95.205895306373492</v>
      </c>
    </row>
    <row r="116" spans="1:10" ht="22.5" customHeight="1" x14ac:dyDescent="0.2">
      <c r="A116" s="492">
        <v>1.17</v>
      </c>
      <c r="B116" s="46" t="s">
        <v>2006</v>
      </c>
      <c r="C116" s="165" t="s">
        <v>40</v>
      </c>
      <c r="D116" s="167" t="s">
        <v>278</v>
      </c>
      <c r="E116" s="909">
        <v>424</v>
      </c>
      <c r="F116" s="909">
        <v>197</v>
      </c>
      <c r="G116" s="411">
        <f t="shared" si="6"/>
        <v>46.462264150943398</v>
      </c>
      <c r="H116" s="406">
        <v>2890578</v>
      </c>
      <c r="I116" s="498">
        <v>2822192</v>
      </c>
      <c r="J116" s="404">
        <f t="shared" si="7"/>
        <v>97.634175587027926</v>
      </c>
    </row>
    <row r="117" spans="1:10" ht="30" customHeight="1" x14ac:dyDescent="0.2">
      <c r="A117" s="492">
        <v>1.18</v>
      </c>
      <c r="B117" s="46" t="s">
        <v>280</v>
      </c>
      <c r="C117" s="165" t="s">
        <v>40</v>
      </c>
      <c r="D117" s="167" t="s">
        <v>278</v>
      </c>
      <c r="E117" s="909">
        <v>11438</v>
      </c>
      <c r="F117" s="909">
        <v>7014</v>
      </c>
      <c r="G117" s="411">
        <f t="shared" si="6"/>
        <v>61.321909424724602</v>
      </c>
      <c r="H117" s="406">
        <v>6870988</v>
      </c>
      <c r="I117" s="498">
        <v>6815854</v>
      </c>
      <c r="J117" s="404">
        <f t="shared" si="7"/>
        <v>99.197582647502799</v>
      </c>
    </row>
    <row r="118" spans="1:10" ht="30" customHeight="1" x14ac:dyDescent="0.2">
      <c r="A118" s="492">
        <v>1.19</v>
      </c>
      <c r="B118" s="46" t="s">
        <v>281</v>
      </c>
      <c r="C118" s="165" t="s">
        <v>40</v>
      </c>
      <c r="D118" s="167" t="s">
        <v>282</v>
      </c>
      <c r="E118" s="909">
        <v>16718</v>
      </c>
      <c r="F118" s="909">
        <v>7525</v>
      </c>
      <c r="G118" s="411">
        <f t="shared" si="6"/>
        <v>45.011364995812897</v>
      </c>
      <c r="H118" s="406">
        <v>2724713</v>
      </c>
      <c r="I118" s="498">
        <v>2615278</v>
      </c>
      <c r="J118" s="404">
        <f t="shared" si="7"/>
        <v>95.983613687019513</v>
      </c>
    </row>
    <row r="119" spans="1:10" ht="26.25" customHeight="1" x14ac:dyDescent="0.2">
      <c r="A119" s="494">
        <v>1.2</v>
      </c>
      <c r="B119" s="46" t="s">
        <v>283</v>
      </c>
      <c r="C119" s="165" t="s">
        <v>40</v>
      </c>
      <c r="D119" s="167" t="s">
        <v>278</v>
      </c>
      <c r="E119" s="909">
        <v>140477</v>
      </c>
      <c r="F119" s="909">
        <v>39755</v>
      </c>
      <c r="G119" s="411">
        <f t="shared" si="6"/>
        <v>28.300006406742742</v>
      </c>
      <c r="H119" s="406">
        <v>3346772</v>
      </c>
      <c r="I119" s="498">
        <v>3237250</v>
      </c>
      <c r="J119" s="404">
        <f t="shared" si="7"/>
        <v>96.727533276841086</v>
      </c>
    </row>
    <row r="120" spans="1:10" ht="27" customHeight="1" x14ac:dyDescent="0.2">
      <c r="A120" s="492">
        <v>1.21</v>
      </c>
      <c r="B120" s="47" t="s">
        <v>284</v>
      </c>
      <c r="C120" s="165" t="s">
        <v>40</v>
      </c>
      <c r="D120" s="167" t="s">
        <v>220</v>
      </c>
      <c r="E120" s="909">
        <v>14</v>
      </c>
      <c r="F120" s="909">
        <v>7</v>
      </c>
      <c r="G120" s="411">
        <f t="shared" si="6"/>
        <v>50</v>
      </c>
      <c r="H120" s="401">
        <v>3858764</v>
      </c>
      <c r="I120" s="497">
        <v>2028220</v>
      </c>
      <c r="J120" s="404">
        <f t="shared" si="7"/>
        <v>52.56139012388423</v>
      </c>
    </row>
    <row r="121" spans="1:10" ht="20.25" customHeight="1" x14ac:dyDescent="0.2">
      <c r="A121" s="439">
        <v>2</v>
      </c>
      <c r="B121" s="440" t="s">
        <v>285</v>
      </c>
      <c r="C121" s="441"/>
      <c r="D121" s="442"/>
      <c r="E121" s="776"/>
      <c r="F121" s="776"/>
      <c r="G121" s="443"/>
      <c r="H121" s="444">
        <f>SUM(H122:H143)</f>
        <v>73167645</v>
      </c>
      <c r="I121" s="499">
        <f>SUM(I122:I143)</f>
        <v>68315616</v>
      </c>
      <c r="J121" s="445">
        <f t="shared" si="7"/>
        <v>93.368613954979693</v>
      </c>
    </row>
    <row r="122" spans="1:10" ht="29.25" customHeight="1" x14ac:dyDescent="0.2">
      <c r="A122" s="492">
        <v>2.1</v>
      </c>
      <c r="B122" s="47" t="s">
        <v>286</v>
      </c>
      <c r="C122" s="165" t="s">
        <v>40</v>
      </c>
      <c r="D122" s="167" t="s">
        <v>287</v>
      </c>
      <c r="E122" s="909">
        <v>1058874</v>
      </c>
      <c r="F122" s="909">
        <v>481957</v>
      </c>
      <c r="G122" s="411">
        <f t="shared" si="6"/>
        <v>45.515991515515537</v>
      </c>
      <c r="H122" s="402">
        <v>983506</v>
      </c>
      <c r="I122" s="500">
        <v>979828</v>
      </c>
      <c r="J122" s="404">
        <f t="shared" si="7"/>
        <v>99.62603176798109</v>
      </c>
    </row>
    <row r="123" spans="1:10" ht="27.75" customHeight="1" x14ac:dyDescent="0.2">
      <c r="A123" s="492">
        <v>2.2000000000000002</v>
      </c>
      <c r="B123" s="47" t="s">
        <v>288</v>
      </c>
      <c r="C123" s="165" t="s">
        <v>40</v>
      </c>
      <c r="D123" s="167" t="s">
        <v>289</v>
      </c>
      <c r="E123" s="909">
        <v>52360</v>
      </c>
      <c r="F123" s="909">
        <v>26249</v>
      </c>
      <c r="G123" s="411">
        <f t="shared" si="6"/>
        <v>50.131779984721163</v>
      </c>
      <c r="H123" s="402">
        <v>854708</v>
      </c>
      <c r="I123" s="501">
        <v>854064</v>
      </c>
      <c r="J123" s="404">
        <f t="shared" si="7"/>
        <v>99.924652629904003</v>
      </c>
    </row>
    <row r="124" spans="1:10" ht="27" customHeight="1" x14ac:dyDescent="0.2">
      <c r="A124" s="492">
        <v>2.2999999999999998</v>
      </c>
      <c r="B124" s="47" t="s">
        <v>290</v>
      </c>
      <c r="C124" s="165" t="s">
        <v>40</v>
      </c>
      <c r="D124" s="167" t="s">
        <v>291</v>
      </c>
      <c r="E124" s="909">
        <v>25218</v>
      </c>
      <c r="F124" s="910">
        <v>13710</v>
      </c>
      <c r="G124" s="411">
        <f t="shared" si="6"/>
        <v>54.365929098263145</v>
      </c>
      <c r="H124" s="402">
        <v>12434567</v>
      </c>
      <c r="I124" s="501">
        <v>11226611</v>
      </c>
      <c r="J124" s="404">
        <f t="shared" si="7"/>
        <v>90.28550009019213</v>
      </c>
    </row>
    <row r="125" spans="1:10" ht="28.5" customHeight="1" x14ac:dyDescent="0.2">
      <c r="A125" s="492">
        <v>2.4</v>
      </c>
      <c r="B125" s="47" t="s">
        <v>292</v>
      </c>
      <c r="C125" s="165" t="s">
        <v>40</v>
      </c>
      <c r="D125" s="167" t="s">
        <v>259</v>
      </c>
      <c r="E125" s="909">
        <v>14</v>
      </c>
      <c r="F125" s="909">
        <v>13</v>
      </c>
      <c r="G125" s="411">
        <f t="shared" si="6"/>
        <v>92.857142857142861</v>
      </c>
      <c r="H125" s="402">
        <v>583350</v>
      </c>
      <c r="I125" s="501">
        <v>570059</v>
      </c>
      <c r="J125" s="404">
        <f t="shared" si="7"/>
        <v>97.721607954058456</v>
      </c>
    </row>
    <row r="126" spans="1:10" ht="25.5" customHeight="1" x14ac:dyDescent="0.2">
      <c r="A126" s="492">
        <v>2.5</v>
      </c>
      <c r="B126" s="47" t="s">
        <v>293</v>
      </c>
      <c r="C126" s="165" t="s">
        <v>40</v>
      </c>
      <c r="D126" s="167" t="s">
        <v>257</v>
      </c>
      <c r="E126" s="909">
        <v>127</v>
      </c>
      <c r="F126" s="909">
        <v>83</v>
      </c>
      <c r="G126" s="411">
        <f t="shared" si="6"/>
        <v>65.354330708661422</v>
      </c>
      <c r="H126" s="402">
        <v>406340</v>
      </c>
      <c r="I126" s="501">
        <v>406337</v>
      </c>
      <c r="J126" s="404">
        <f t="shared" si="7"/>
        <v>99.999261702022935</v>
      </c>
    </row>
    <row r="127" spans="1:10" ht="27.75" customHeight="1" x14ac:dyDescent="0.2">
      <c r="A127" s="492">
        <v>2.6</v>
      </c>
      <c r="B127" s="47" t="s">
        <v>294</v>
      </c>
      <c r="C127" s="165" t="s">
        <v>40</v>
      </c>
      <c r="D127" s="167" t="s">
        <v>262</v>
      </c>
      <c r="E127" s="909">
        <v>3885</v>
      </c>
      <c r="F127" s="909">
        <v>2531</v>
      </c>
      <c r="G127" s="411">
        <f t="shared" si="6"/>
        <v>65.148005148005154</v>
      </c>
      <c r="H127" s="402">
        <v>807598</v>
      </c>
      <c r="I127" s="501">
        <v>807595</v>
      </c>
      <c r="J127" s="404">
        <f t="shared" si="7"/>
        <v>99.999628528054799</v>
      </c>
    </row>
    <row r="128" spans="1:10" ht="26.25" customHeight="1" x14ac:dyDescent="0.2">
      <c r="A128" s="492">
        <v>2.7</v>
      </c>
      <c r="B128" s="47" t="s">
        <v>295</v>
      </c>
      <c r="C128" s="165" t="s">
        <v>40</v>
      </c>
      <c r="D128" s="167" t="s">
        <v>85</v>
      </c>
      <c r="E128" s="909">
        <v>3537</v>
      </c>
      <c r="F128" s="910">
        <v>2516</v>
      </c>
      <c r="G128" s="411">
        <f t="shared" si="6"/>
        <v>71.133729148996323</v>
      </c>
      <c r="H128" s="402">
        <v>1411186</v>
      </c>
      <c r="I128" s="501">
        <v>1411184</v>
      </c>
      <c r="J128" s="404">
        <f t="shared" si="7"/>
        <v>99.999858275237997</v>
      </c>
    </row>
    <row r="129" spans="1:10" ht="27" customHeight="1" x14ac:dyDescent="0.2">
      <c r="A129" s="492">
        <v>2.8</v>
      </c>
      <c r="B129" s="47" t="s">
        <v>296</v>
      </c>
      <c r="C129" s="165" t="s">
        <v>40</v>
      </c>
      <c r="D129" s="167" t="s">
        <v>297</v>
      </c>
      <c r="E129" s="909">
        <v>120359</v>
      </c>
      <c r="F129" s="910">
        <v>50900</v>
      </c>
      <c r="G129" s="411">
        <f t="shared" si="6"/>
        <v>42.290148638656021</v>
      </c>
      <c r="H129" s="402">
        <v>1404456</v>
      </c>
      <c r="I129" s="501">
        <v>1140839</v>
      </c>
      <c r="J129" s="404">
        <f t="shared" si="7"/>
        <v>81.229956652255396</v>
      </c>
    </row>
    <row r="130" spans="1:10" ht="28.5" customHeight="1" x14ac:dyDescent="0.2">
      <c r="A130" s="492">
        <v>2.9</v>
      </c>
      <c r="B130" s="47" t="s">
        <v>298</v>
      </c>
      <c r="C130" s="165" t="s">
        <v>40</v>
      </c>
      <c r="D130" s="167" t="s">
        <v>289</v>
      </c>
      <c r="E130" s="909">
        <v>152197</v>
      </c>
      <c r="F130" s="910">
        <v>71258</v>
      </c>
      <c r="G130" s="411">
        <f t="shared" si="6"/>
        <v>46.819582514767042</v>
      </c>
      <c r="H130" s="402">
        <v>554887</v>
      </c>
      <c r="I130" s="501">
        <v>550092</v>
      </c>
      <c r="J130" s="404">
        <f t="shared" si="7"/>
        <v>99.13586009403717</v>
      </c>
    </row>
    <row r="131" spans="1:10" ht="27" customHeight="1" x14ac:dyDescent="0.2">
      <c r="A131" s="494">
        <v>2.1</v>
      </c>
      <c r="B131" s="47" t="s">
        <v>299</v>
      </c>
      <c r="C131" s="165" t="s">
        <v>40</v>
      </c>
      <c r="D131" s="167" t="s">
        <v>300</v>
      </c>
      <c r="E131" s="909">
        <v>54658</v>
      </c>
      <c r="F131" s="910">
        <v>20863</v>
      </c>
      <c r="G131" s="411">
        <f t="shared" si="6"/>
        <v>38.170075743715465</v>
      </c>
      <c r="H131" s="402">
        <v>5248010</v>
      </c>
      <c r="I131" s="501">
        <v>4959482</v>
      </c>
      <c r="J131" s="404">
        <f t="shared" si="7"/>
        <v>94.502144622437839</v>
      </c>
    </row>
    <row r="132" spans="1:10" ht="26.25" customHeight="1" x14ac:dyDescent="0.2">
      <c r="A132" s="492">
        <v>2.11</v>
      </c>
      <c r="B132" s="47" t="s">
        <v>301</v>
      </c>
      <c r="C132" s="165" t="s">
        <v>40</v>
      </c>
      <c r="D132" s="167" t="s">
        <v>302</v>
      </c>
      <c r="E132" s="909">
        <v>21853</v>
      </c>
      <c r="F132" s="910">
        <v>13420</v>
      </c>
      <c r="G132" s="411">
        <f t="shared" si="6"/>
        <v>61.410332677435591</v>
      </c>
      <c r="H132" s="402">
        <v>8978380</v>
      </c>
      <c r="I132" s="501">
        <v>8272475</v>
      </c>
      <c r="J132" s="404">
        <f t="shared" si="7"/>
        <v>92.137724177412849</v>
      </c>
    </row>
    <row r="133" spans="1:10" ht="23.25" customHeight="1" x14ac:dyDescent="0.2">
      <c r="A133" s="494">
        <v>2.12</v>
      </c>
      <c r="B133" s="47" t="s">
        <v>303</v>
      </c>
      <c r="C133" s="165" t="s">
        <v>40</v>
      </c>
      <c r="D133" s="167" t="s">
        <v>304</v>
      </c>
      <c r="E133" s="909">
        <v>24021</v>
      </c>
      <c r="F133" s="910">
        <v>11072</v>
      </c>
      <c r="G133" s="411">
        <f t="shared" si="6"/>
        <v>46.093001956621286</v>
      </c>
      <c r="H133" s="402">
        <v>3545698</v>
      </c>
      <c r="I133" s="501">
        <v>3448573</v>
      </c>
      <c r="J133" s="404">
        <f t="shared" si="7"/>
        <v>97.260765017212407</v>
      </c>
    </row>
    <row r="134" spans="1:10" ht="25.5" customHeight="1" x14ac:dyDescent="0.2">
      <c r="A134" s="492">
        <v>2.13</v>
      </c>
      <c r="B134" s="47" t="s">
        <v>305</v>
      </c>
      <c r="C134" s="165" t="s">
        <v>40</v>
      </c>
      <c r="D134" s="167" t="s">
        <v>306</v>
      </c>
      <c r="E134" s="909">
        <v>1949</v>
      </c>
      <c r="F134" s="910">
        <v>988</v>
      </c>
      <c r="G134" s="411">
        <f t="shared" si="6"/>
        <v>50.692662904053364</v>
      </c>
      <c r="H134" s="402">
        <v>9890939</v>
      </c>
      <c r="I134" s="501">
        <v>9608961</v>
      </c>
      <c r="J134" s="404">
        <f t="shared" si="7"/>
        <v>97.149128106037253</v>
      </c>
    </row>
    <row r="135" spans="1:10" ht="24" customHeight="1" x14ac:dyDescent="0.2">
      <c r="A135" s="494">
        <v>2.14</v>
      </c>
      <c r="B135" s="47" t="s">
        <v>307</v>
      </c>
      <c r="C135" s="165" t="s">
        <v>40</v>
      </c>
      <c r="D135" s="167" t="s">
        <v>308</v>
      </c>
      <c r="E135" s="909">
        <v>22091</v>
      </c>
      <c r="F135" s="910">
        <v>14313</v>
      </c>
      <c r="G135" s="411">
        <f t="shared" si="6"/>
        <v>64.791091394685623</v>
      </c>
      <c r="H135" s="402">
        <v>2289401</v>
      </c>
      <c r="I135" s="501">
        <v>2120834</v>
      </c>
      <c r="J135" s="404">
        <f t="shared" si="7"/>
        <v>92.637069696396566</v>
      </c>
    </row>
    <row r="136" spans="1:10" ht="24" customHeight="1" x14ac:dyDescent="0.2">
      <c r="A136" s="492">
        <v>2.15</v>
      </c>
      <c r="B136" s="47" t="s">
        <v>309</v>
      </c>
      <c r="C136" s="165" t="s">
        <v>40</v>
      </c>
      <c r="D136" s="167" t="s">
        <v>310</v>
      </c>
      <c r="E136" s="909">
        <v>521</v>
      </c>
      <c r="F136" s="910">
        <v>251</v>
      </c>
      <c r="G136" s="411">
        <f t="shared" si="6"/>
        <v>48.176583493282152</v>
      </c>
      <c r="H136" s="402">
        <v>4998279</v>
      </c>
      <c r="I136" s="501">
        <v>4895882</v>
      </c>
      <c r="J136" s="404">
        <f t="shared" si="7"/>
        <v>97.951354856341553</v>
      </c>
    </row>
    <row r="137" spans="1:10" ht="22.5" customHeight="1" x14ac:dyDescent="0.2">
      <c r="A137" s="494">
        <v>2.16</v>
      </c>
      <c r="B137" s="47" t="s">
        <v>311</v>
      </c>
      <c r="C137" s="165" t="s">
        <v>40</v>
      </c>
      <c r="D137" s="167" t="s">
        <v>310</v>
      </c>
      <c r="E137" s="909">
        <v>150</v>
      </c>
      <c r="F137" s="909">
        <v>145</v>
      </c>
      <c r="G137" s="411">
        <f t="shared" si="6"/>
        <v>96.666666666666671</v>
      </c>
      <c r="H137" s="402">
        <v>1112833</v>
      </c>
      <c r="I137" s="501">
        <v>1077487</v>
      </c>
      <c r="J137" s="404">
        <f t="shared" si="7"/>
        <v>96.823782184748296</v>
      </c>
    </row>
    <row r="138" spans="1:10" ht="40.5" customHeight="1" x14ac:dyDescent="0.2">
      <c r="A138" s="494">
        <v>2.1800000000000002</v>
      </c>
      <c r="B138" s="47" t="s">
        <v>313</v>
      </c>
      <c r="C138" s="165" t="s">
        <v>40</v>
      </c>
      <c r="D138" s="167" t="s">
        <v>314</v>
      </c>
      <c r="E138" s="909">
        <v>8430</v>
      </c>
      <c r="F138" s="910">
        <v>5181</v>
      </c>
      <c r="G138" s="411">
        <f t="shared" si="6"/>
        <v>61.459074733096088</v>
      </c>
      <c r="H138" s="402">
        <v>4901479</v>
      </c>
      <c r="I138" s="501">
        <v>4688368</v>
      </c>
      <c r="J138" s="404">
        <f t="shared" si="7"/>
        <v>95.652108271809382</v>
      </c>
    </row>
    <row r="139" spans="1:10" ht="26.25" customHeight="1" x14ac:dyDescent="0.2">
      <c r="A139" s="492">
        <v>2.19</v>
      </c>
      <c r="B139" s="47" t="s">
        <v>315</v>
      </c>
      <c r="C139" s="165" t="s">
        <v>40</v>
      </c>
      <c r="D139" s="167" t="s">
        <v>316</v>
      </c>
      <c r="E139" s="909">
        <v>19350</v>
      </c>
      <c r="F139" s="910">
        <v>12567</v>
      </c>
      <c r="G139" s="411">
        <f t="shared" si="6"/>
        <v>64.945736434108525</v>
      </c>
      <c r="H139" s="402">
        <v>3480943</v>
      </c>
      <c r="I139" s="501">
        <v>3318372</v>
      </c>
      <c r="J139" s="404">
        <f t="shared" si="7"/>
        <v>95.329685088207412</v>
      </c>
    </row>
    <row r="140" spans="1:10" ht="24.75" customHeight="1" x14ac:dyDescent="0.2">
      <c r="A140" s="494">
        <v>2.2000000000000002</v>
      </c>
      <c r="B140" s="47" t="s">
        <v>317</v>
      </c>
      <c r="C140" s="165" t="s">
        <v>40</v>
      </c>
      <c r="D140" s="167" t="s">
        <v>310</v>
      </c>
      <c r="E140" s="909">
        <v>8794</v>
      </c>
      <c r="F140" s="909">
        <v>3340</v>
      </c>
      <c r="G140" s="411">
        <f t="shared" si="6"/>
        <v>37.980441209915853</v>
      </c>
      <c r="H140" s="402">
        <v>3393436</v>
      </c>
      <c r="I140" s="501">
        <v>3327294</v>
      </c>
      <c r="J140" s="404">
        <f t="shared" si="7"/>
        <v>98.050884118633746</v>
      </c>
    </row>
    <row r="141" spans="1:10" ht="30" customHeight="1" x14ac:dyDescent="0.2">
      <c r="A141" s="492">
        <v>2.21</v>
      </c>
      <c r="B141" s="23" t="s">
        <v>318</v>
      </c>
      <c r="C141" s="165" t="s">
        <v>40</v>
      </c>
      <c r="D141" s="167" t="s">
        <v>310</v>
      </c>
      <c r="E141" s="909">
        <v>200</v>
      </c>
      <c r="F141" s="909">
        <v>195</v>
      </c>
      <c r="G141" s="411">
        <f t="shared" si="6"/>
        <v>97.5</v>
      </c>
      <c r="H141" s="402">
        <v>2732530</v>
      </c>
      <c r="I141" s="501">
        <v>2718106</v>
      </c>
      <c r="J141" s="404">
        <f t="shared" si="7"/>
        <v>99.472137542863209</v>
      </c>
    </row>
    <row r="142" spans="1:10" ht="26.25" customHeight="1" x14ac:dyDescent="0.2">
      <c r="A142" s="494">
        <v>2.2200000000000002</v>
      </c>
      <c r="B142" s="47" t="s">
        <v>319</v>
      </c>
      <c r="C142" s="165" t="s">
        <v>40</v>
      </c>
      <c r="D142" s="167" t="s">
        <v>72</v>
      </c>
      <c r="E142" s="909">
        <v>257470</v>
      </c>
      <c r="F142" s="909">
        <v>61042</v>
      </c>
      <c r="G142" s="411">
        <f t="shared" si="6"/>
        <v>23.708393210859519</v>
      </c>
      <c r="H142" s="402">
        <v>931229</v>
      </c>
      <c r="I142" s="501">
        <v>931227</v>
      </c>
      <c r="J142" s="404">
        <f t="shared" si="7"/>
        <v>99.99978523005619</v>
      </c>
    </row>
    <row r="143" spans="1:10" ht="26.25" customHeight="1" x14ac:dyDescent="0.2">
      <c r="A143" s="492">
        <v>2.23</v>
      </c>
      <c r="B143" s="47" t="s">
        <v>320</v>
      </c>
      <c r="C143" s="165" t="s">
        <v>40</v>
      </c>
      <c r="D143" s="167" t="s">
        <v>220</v>
      </c>
      <c r="E143" s="909">
        <v>624</v>
      </c>
      <c r="F143" s="909">
        <v>208</v>
      </c>
      <c r="G143" s="411">
        <f t="shared" si="6"/>
        <v>33.333333333333336</v>
      </c>
      <c r="H143" s="402">
        <v>2223890</v>
      </c>
      <c r="I143" s="501">
        <v>1001946</v>
      </c>
      <c r="J143" s="404">
        <f t="shared" si="7"/>
        <v>45.053757155254978</v>
      </c>
    </row>
    <row r="144" spans="1:10" ht="20.25" customHeight="1" x14ac:dyDescent="0.2">
      <c r="A144" s="439">
        <v>3</v>
      </c>
      <c r="B144" s="440" t="s">
        <v>321</v>
      </c>
      <c r="C144" s="441"/>
      <c r="D144" s="442"/>
      <c r="E144" s="776">
        <v>0</v>
      </c>
      <c r="F144" s="776"/>
      <c r="G144" s="443"/>
      <c r="H144" s="444">
        <f>SUM(H145:H167)</f>
        <v>15459231</v>
      </c>
      <c r="I144" s="499">
        <f>SUM(I145:I167)</f>
        <v>14399288</v>
      </c>
      <c r="J144" s="445">
        <f t="shared" si="7"/>
        <v>93.143624026317994</v>
      </c>
    </row>
    <row r="145" spans="1:10" ht="26.25" customHeight="1" x14ac:dyDescent="0.2">
      <c r="A145" s="492">
        <v>3.1</v>
      </c>
      <c r="B145" s="23" t="s">
        <v>322</v>
      </c>
      <c r="C145" s="165" t="s">
        <v>40</v>
      </c>
      <c r="D145" s="167" t="s">
        <v>323</v>
      </c>
      <c r="E145" s="909">
        <v>1441</v>
      </c>
      <c r="F145" s="909">
        <v>1441</v>
      </c>
      <c r="G145" s="411">
        <f t="shared" si="6"/>
        <v>100</v>
      </c>
      <c r="H145" s="407">
        <v>1643492</v>
      </c>
      <c r="I145" s="408">
        <v>1631279</v>
      </c>
      <c r="J145" s="404">
        <f t="shared" si="7"/>
        <v>99.256887164646983</v>
      </c>
    </row>
    <row r="146" spans="1:10" ht="22.5" customHeight="1" x14ac:dyDescent="0.2">
      <c r="A146" s="492">
        <v>3.2</v>
      </c>
      <c r="B146" s="47" t="s">
        <v>326</v>
      </c>
      <c r="C146" s="165" t="s">
        <v>40</v>
      </c>
      <c r="D146" s="167" t="s">
        <v>220</v>
      </c>
      <c r="E146" s="909">
        <v>690</v>
      </c>
      <c r="F146" s="909">
        <v>690</v>
      </c>
      <c r="G146" s="411">
        <f t="shared" si="6"/>
        <v>100</v>
      </c>
      <c r="H146" s="407">
        <v>613362</v>
      </c>
      <c r="I146" s="408">
        <v>612280</v>
      </c>
      <c r="J146" s="404">
        <f t="shared" si="7"/>
        <v>99.823595201528619</v>
      </c>
    </row>
    <row r="147" spans="1:10" ht="24" customHeight="1" x14ac:dyDescent="0.2">
      <c r="A147" s="492">
        <v>3.3</v>
      </c>
      <c r="B147" s="47" t="s">
        <v>327</v>
      </c>
      <c r="C147" s="165" t="s">
        <v>40</v>
      </c>
      <c r="D147" s="167" t="s">
        <v>259</v>
      </c>
      <c r="E147" s="909">
        <v>3</v>
      </c>
      <c r="F147" s="909">
        <v>3</v>
      </c>
      <c r="G147" s="411">
        <f t="shared" si="6"/>
        <v>100</v>
      </c>
      <c r="H147" s="407">
        <v>89339</v>
      </c>
      <c r="I147" s="408">
        <v>83858</v>
      </c>
      <c r="J147" s="404">
        <f t="shared" si="7"/>
        <v>93.8649414029707</v>
      </c>
    </row>
    <row r="148" spans="1:10" ht="30" customHeight="1" x14ac:dyDescent="0.2">
      <c r="A148" s="492">
        <v>3.4</v>
      </c>
      <c r="B148" s="47" t="s">
        <v>328</v>
      </c>
      <c r="C148" s="165" t="s">
        <v>40</v>
      </c>
      <c r="D148" s="167" t="s">
        <v>72</v>
      </c>
      <c r="E148" s="909">
        <v>12271</v>
      </c>
      <c r="F148" s="909">
        <v>3307</v>
      </c>
      <c r="G148" s="411">
        <f t="shared" si="6"/>
        <v>26.949718849319535</v>
      </c>
      <c r="H148" s="407">
        <v>466539</v>
      </c>
      <c r="I148" s="408">
        <v>449236</v>
      </c>
      <c r="J148" s="404">
        <f t="shared" si="7"/>
        <v>96.29119966390806</v>
      </c>
    </row>
    <row r="149" spans="1:10" ht="30" customHeight="1" x14ac:dyDescent="0.2">
      <c r="A149" s="492">
        <v>3.5</v>
      </c>
      <c r="B149" s="47" t="s">
        <v>329</v>
      </c>
      <c r="C149" s="165" t="s">
        <v>40</v>
      </c>
      <c r="D149" s="167" t="s">
        <v>264</v>
      </c>
      <c r="E149" s="909">
        <v>1537</v>
      </c>
      <c r="F149" s="909">
        <v>1071</v>
      </c>
      <c r="G149" s="411">
        <f t="shared" si="6"/>
        <v>69.681197137280421</v>
      </c>
      <c r="H149" s="407">
        <v>355929</v>
      </c>
      <c r="I149" s="408">
        <v>355927</v>
      </c>
      <c r="J149" s="404">
        <f t="shared" si="7"/>
        <v>99.999438090180902</v>
      </c>
    </row>
    <row r="150" spans="1:10" ht="30" customHeight="1" x14ac:dyDescent="0.2">
      <c r="A150" s="492">
        <v>3.6</v>
      </c>
      <c r="B150" s="47" t="s">
        <v>330</v>
      </c>
      <c r="C150" s="165" t="s">
        <v>40</v>
      </c>
      <c r="D150" s="167" t="s">
        <v>331</v>
      </c>
      <c r="E150" s="909">
        <v>8116</v>
      </c>
      <c r="F150" s="909">
        <v>1088</v>
      </c>
      <c r="G150" s="411">
        <f t="shared" si="6"/>
        <v>13.405618531296206</v>
      </c>
      <c r="H150" s="407">
        <v>487112</v>
      </c>
      <c r="I150" s="408">
        <v>487112</v>
      </c>
      <c r="J150" s="404">
        <f t="shared" si="7"/>
        <v>100</v>
      </c>
    </row>
    <row r="151" spans="1:10" ht="30" customHeight="1" x14ac:dyDescent="0.2">
      <c r="A151" s="492">
        <v>3.7</v>
      </c>
      <c r="B151" s="47" t="s">
        <v>332</v>
      </c>
      <c r="C151" s="165" t="s">
        <v>40</v>
      </c>
      <c r="D151" s="167" t="s">
        <v>333</v>
      </c>
      <c r="E151" s="909">
        <v>523</v>
      </c>
      <c r="F151" s="910">
        <v>113</v>
      </c>
      <c r="G151" s="411">
        <f t="shared" si="6"/>
        <v>21.606118546845124</v>
      </c>
      <c r="H151" s="407">
        <v>1302710</v>
      </c>
      <c r="I151" s="408">
        <v>1293601</v>
      </c>
      <c r="J151" s="404">
        <f t="shared" si="7"/>
        <v>99.3007653276631</v>
      </c>
    </row>
    <row r="152" spans="1:10" ht="30" customHeight="1" x14ac:dyDescent="0.2">
      <c r="A152" s="492">
        <v>3.8</v>
      </c>
      <c r="B152" s="47" t="s">
        <v>334</v>
      </c>
      <c r="C152" s="165" t="s">
        <v>40</v>
      </c>
      <c r="D152" s="167" t="s">
        <v>335</v>
      </c>
      <c r="E152" s="909">
        <v>166363</v>
      </c>
      <c r="F152" s="910">
        <v>47132</v>
      </c>
      <c r="G152" s="411">
        <f t="shared" si="6"/>
        <v>28.330818751765719</v>
      </c>
      <c r="H152" s="407">
        <v>492660</v>
      </c>
      <c r="I152" s="408">
        <v>464769</v>
      </c>
      <c r="J152" s="404">
        <f t="shared" si="7"/>
        <v>94.33869199853855</v>
      </c>
    </row>
    <row r="153" spans="1:10" ht="30" customHeight="1" x14ac:dyDescent="0.2">
      <c r="A153" s="492">
        <v>3.9</v>
      </c>
      <c r="B153" s="47" t="s">
        <v>336</v>
      </c>
      <c r="C153" s="165" t="s">
        <v>40</v>
      </c>
      <c r="D153" s="167" t="s">
        <v>287</v>
      </c>
      <c r="E153" s="909">
        <v>29991</v>
      </c>
      <c r="F153" s="909">
        <v>5398</v>
      </c>
      <c r="G153" s="411">
        <f t="shared" si="6"/>
        <v>17.998732953219299</v>
      </c>
      <c r="H153" s="407">
        <v>1136192</v>
      </c>
      <c r="I153" s="408">
        <v>1129325</v>
      </c>
      <c r="J153" s="404">
        <f t="shared" si="7"/>
        <v>99.395612713344235</v>
      </c>
    </row>
    <row r="154" spans="1:10" ht="30" customHeight="1" x14ac:dyDescent="0.2">
      <c r="A154" s="494">
        <v>3.1</v>
      </c>
      <c r="B154" s="47" t="s">
        <v>337</v>
      </c>
      <c r="C154" s="165" t="s">
        <v>40</v>
      </c>
      <c r="D154" s="167" t="s">
        <v>338</v>
      </c>
      <c r="E154" s="909">
        <v>4472</v>
      </c>
      <c r="F154" s="909">
        <v>1336</v>
      </c>
      <c r="G154" s="411">
        <f t="shared" si="6"/>
        <v>29.874776386404292</v>
      </c>
      <c r="H154" s="407">
        <v>948921</v>
      </c>
      <c r="I154" s="408">
        <v>874637</v>
      </c>
      <c r="J154" s="404">
        <f t="shared" si="7"/>
        <v>92.171740324010116</v>
      </c>
    </row>
    <row r="155" spans="1:10" ht="30" customHeight="1" x14ac:dyDescent="0.2">
      <c r="A155" s="492">
        <v>3.11</v>
      </c>
      <c r="B155" s="47" t="s">
        <v>339</v>
      </c>
      <c r="C155" s="165" t="s">
        <v>40</v>
      </c>
      <c r="D155" s="167" t="s">
        <v>340</v>
      </c>
      <c r="E155" s="909">
        <v>40750</v>
      </c>
      <c r="F155" s="909">
        <v>17036</v>
      </c>
      <c r="G155" s="411">
        <f t="shared" si="6"/>
        <v>41.80613496932515</v>
      </c>
      <c r="H155" s="407">
        <v>754942</v>
      </c>
      <c r="I155" s="408">
        <v>733338</v>
      </c>
      <c r="J155" s="404">
        <f t="shared" si="7"/>
        <v>97.138323208935248</v>
      </c>
    </row>
    <row r="156" spans="1:10" ht="30" customHeight="1" x14ac:dyDescent="0.2">
      <c r="A156" s="494">
        <v>3.12</v>
      </c>
      <c r="B156" s="47" t="s">
        <v>2115</v>
      </c>
      <c r="C156" s="165" t="s">
        <v>40</v>
      </c>
      <c r="D156" s="167" t="s">
        <v>342</v>
      </c>
      <c r="E156" s="909">
        <v>1570</v>
      </c>
      <c r="F156" s="909">
        <v>503</v>
      </c>
      <c r="G156" s="411">
        <f t="shared" si="6"/>
        <v>32.038216560509554</v>
      </c>
      <c r="H156" s="407">
        <v>38292</v>
      </c>
      <c r="I156" s="408">
        <v>38291</v>
      </c>
      <c r="J156" s="404">
        <f t="shared" si="7"/>
        <v>99.997388488457119</v>
      </c>
    </row>
    <row r="157" spans="1:10" ht="36.75" customHeight="1" x14ac:dyDescent="0.2">
      <c r="A157" s="495">
        <v>3.13</v>
      </c>
      <c r="B157" s="47" t="s">
        <v>343</v>
      </c>
      <c r="C157" s="165" t="s">
        <v>40</v>
      </c>
      <c r="D157" s="167" t="s">
        <v>342</v>
      </c>
      <c r="E157" s="909">
        <v>163</v>
      </c>
      <c r="F157" s="909">
        <v>95</v>
      </c>
      <c r="G157" s="411">
        <f t="shared" si="6"/>
        <v>58.282208588957054</v>
      </c>
      <c r="H157" s="407">
        <v>1002756</v>
      </c>
      <c r="I157" s="408">
        <v>910494</v>
      </c>
      <c r="J157" s="404">
        <f t="shared" si="7"/>
        <v>90.799157521869716</v>
      </c>
    </row>
    <row r="158" spans="1:10" ht="30" customHeight="1" x14ac:dyDescent="0.2">
      <c r="A158" s="494">
        <v>3.14</v>
      </c>
      <c r="B158" s="47" t="s">
        <v>344</v>
      </c>
      <c r="C158" s="165" t="s">
        <v>40</v>
      </c>
      <c r="D158" s="167" t="s">
        <v>341</v>
      </c>
      <c r="E158" s="909">
        <v>17223</v>
      </c>
      <c r="F158" s="909">
        <v>14320</v>
      </c>
      <c r="G158" s="411">
        <f t="shared" si="6"/>
        <v>83.144632177901642</v>
      </c>
      <c r="H158" s="407">
        <v>756726</v>
      </c>
      <c r="I158" s="408">
        <v>728909</v>
      </c>
      <c r="J158" s="404">
        <f t="shared" si="7"/>
        <v>96.324032741044974</v>
      </c>
    </row>
    <row r="159" spans="1:10" ht="30" customHeight="1" x14ac:dyDescent="0.2">
      <c r="A159" s="492">
        <v>3.15</v>
      </c>
      <c r="B159" s="47" t="s">
        <v>345</v>
      </c>
      <c r="C159" s="165" t="s">
        <v>40</v>
      </c>
      <c r="D159" s="167" t="s">
        <v>341</v>
      </c>
      <c r="E159" s="909">
        <v>47</v>
      </c>
      <c r="F159" s="909">
        <v>14</v>
      </c>
      <c r="G159" s="411">
        <f t="shared" si="6"/>
        <v>29.787234042553191</v>
      </c>
      <c r="H159" s="407">
        <v>1173442</v>
      </c>
      <c r="I159" s="408">
        <v>928195</v>
      </c>
      <c r="J159" s="404">
        <f t="shared" si="7"/>
        <v>79.100202651686232</v>
      </c>
    </row>
    <row r="160" spans="1:10" ht="24.75" customHeight="1" x14ac:dyDescent="0.2">
      <c r="A160" s="494">
        <v>3.16</v>
      </c>
      <c r="B160" s="47" t="s">
        <v>1962</v>
      </c>
      <c r="C160" s="165" t="s">
        <v>40</v>
      </c>
      <c r="D160" s="167" t="s">
        <v>346</v>
      </c>
      <c r="E160" s="909">
        <v>280</v>
      </c>
      <c r="F160" s="910">
        <v>200</v>
      </c>
      <c r="G160" s="411">
        <f t="shared" si="6"/>
        <v>71.428571428571431</v>
      </c>
      <c r="H160" s="407">
        <v>402951</v>
      </c>
      <c r="I160" s="408">
        <v>287440</v>
      </c>
      <c r="J160" s="404">
        <f t="shared" si="7"/>
        <v>71.333735367327549</v>
      </c>
    </row>
    <row r="161" spans="1:10" ht="30" customHeight="1" x14ac:dyDescent="0.2">
      <c r="A161" s="494">
        <v>3.17</v>
      </c>
      <c r="B161" s="47" t="s">
        <v>347</v>
      </c>
      <c r="C161" s="165" t="s">
        <v>40</v>
      </c>
      <c r="D161" s="167" t="s">
        <v>348</v>
      </c>
      <c r="E161" s="909">
        <v>18</v>
      </c>
      <c r="F161" s="910">
        <v>4</v>
      </c>
      <c r="G161" s="411">
        <f t="shared" si="6"/>
        <v>22.222222222222221</v>
      </c>
      <c r="H161" s="407">
        <v>330781</v>
      </c>
      <c r="I161" s="408">
        <v>288127</v>
      </c>
      <c r="J161" s="404">
        <f t="shared" si="7"/>
        <v>87.105063470997422</v>
      </c>
    </row>
    <row r="162" spans="1:10" ht="30" customHeight="1" x14ac:dyDescent="0.2">
      <c r="A162" s="492">
        <v>3.18</v>
      </c>
      <c r="B162" s="47" t="s">
        <v>349</v>
      </c>
      <c r="C162" s="165" t="s">
        <v>40</v>
      </c>
      <c r="D162" s="167" t="s">
        <v>323</v>
      </c>
      <c r="E162" s="909">
        <v>71</v>
      </c>
      <c r="F162" s="910">
        <v>12</v>
      </c>
      <c r="G162" s="411">
        <f t="shared" si="6"/>
        <v>16.901408450704224</v>
      </c>
      <c r="H162" s="407">
        <v>513455</v>
      </c>
      <c r="I162" s="408">
        <v>419291</v>
      </c>
      <c r="J162" s="404">
        <f t="shared" si="7"/>
        <v>81.660710286198395</v>
      </c>
    </row>
    <row r="163" spans="1:10" ht="30" customHeight="1" x14ac:dyDescent="0.2">
      <c r="A163" s="494">
        <v>3.19</v>
      </c>
      <c r="B163" s="47" t="s">
        <v>350</v>
      </c>
      <c r="C163" s="165" t="s">
        <v>40</v>
      </c>
      <c r="D163" s="165" t="s">
        <v>340</v>
      </c>
      <c r="E163" s="909">
        <v>2</v>
      </c>
      <c r="F163" s="910">
        <v>1</v>
      </c>
      <c r="G163" s="411">
        <f t="shared" si="6"/>
        <v>50</v>
      </c>
      <c r="H163" s="407">
        <v>314718</v>
      </c>
      <c r="I163" s="408">
        <v>109968</v>
      </c>
      <c r="J163" s="404">
        <f t="shared" si="7"/>
        <v>34.941757382799835</v>
      </c>
    </row>
    <row r="164" spans="1:10" ht="30" customHeight="1" x14ac:dyDescent="0.2">
      <c r="A164" s="494">
        <v>3.2</v>
      </c>
      <c r="B164" s="50" t="s">
        <v>351</v>
      </c>
      <c r="C164" s="165" t="s">
        <v>40</v>
      </c>
      <c r="D164" s="167" t="s">
        <v>346</v>
      </c>
      <c r="E164" s="909">
        <v>156</v>
      </c>
      <c r="F164" s="910">
        <v>156</v>
      </c>
      <c r="G164" s="411">
        <f t="shared" ref="G164:G229" si="8">(F164*100)/E164</f>
        <v>100</v>
      </c>
      <c r="H164" s="407">
        <v>625186</v>
      </c>
      <c r="I164" s="408">
        <v>624480</v>
      </c>
      <c r="J164" s="404">
        <f t="shared" si="7"/>
        <v>99.887073606894589</v>
      </c>
    </row>
    <row r="165" spans="1:10" ht="29.25" customHeight="1" x14ac:dyDescent="0.2">
      <c r="A165" s="494">
        <v>3.21</v>
      </c>
      <c r="B165" s="50" t="s">
        <v>324</v>
      </c>
      <c r="C165" s="165" t="s">
        <v>40</v>
      </c>
      <c r="D165" s="167" t="s">
        <v>325</v>
      </c>
      <c r="E165" s="909">
        <v>127</v>
      </c>
      <c r="F165" s="909">
        <v>127</v>
      </c>
      <c r="G165" s="411">
        <f t="shared" si="8"/>
        <v>100</v>
      </c>
      <c r="H165" s="407">
        <v>1554269</v>
      </c>
      <c r="I165" s="408">
        <v>1513501</v>
      </c>
      <c r="J165" s="404">
        <f t="shared" ref="J165:J228" si="9">+I165/H165*100</f>
        <v>97.377030616965271</v>
      </c>
    </row>
    <row r="166" spans="1:10" ht="25.5" customHeight="1" x14ac:dyDescent="0.2">
      <c r="A166" s="492">
        <v>3.22</v>
      </c>
      <c r="B166" s="50" t="s">
        <v>352</v>
      </c>
      <c r="C166" s="165" t="s">
        <v>40</v>
      </c>
      <c r="D166" s="167" t="s">
        <v>346</v>
      </c>
      <c r="E166" s="909">
        <v>158</v>
      </c>
      <c r="F166" s="910">
        <v>158</v>
      </c>
      <c r="G166" s="411">
        <f t="shared" si="8"/>
        <v>100</v>
      </c>
      <c r="H166" s="407">
        <v>453957</v>
      </c>
      <c r="I166" s="408">
        <v>433730</v>
      </c>
      <c r="J166" s="404">
        <f t="shared" si="9"/>
        <v>95.544291639957095</v>
      </c>
    </row>
    <row r="167" spans="1:10" ht="25.5" customHeight="1" x14ac:dyDescent="0.2">
      <c r="A167" s="494">
        <v>3.23</v>
      </c>
      <c r="B167" s="50" t="s">
        <v>1970</v>
      </c>
      <c r="C167" s="165" t="s">
        <v>40</v>
      </c>
      <c r="D167" s="167" t="s">
        <v>1991</v>
      </c>
      <c r="E167" s="909">
        <v>10</v>
      </c>
      <c r="F167" s="910">
        <v>5</v>
      </c>
      <c r="G167" s="411">
        <f t="shared" si="8"/>
        <v>50</v>
      </c>
      <c r="H167" s="407">
        <v>1500</v>
      </c>
      <c r="I167" s="408">
        <v>1500</v>
      </c>
      <c r="J167" s="404">
        <f t="shared" si="9"/>
        <v>100</v>
      </c>
    </row>
    <row r="168" spans="1:10" ht="18" customHeight="1" x14ac:dyDescent="0.2">
      <c r="A168" s="439">
        <v>4</v>
      </c>
      <c r="B168" s="440" t="s">
        <v>353</v>
      </c>
      <c r="C168" s="448"/>
      <c r="D168" s="442"/>
      <c r="E168" s="776">
        <v>0</v>
      </c>
      <c r="F168" s="776"/>
      <c r="G168" s="443"/>
      <c r="H168" s="489">
        <f>SUM(H169:H179)</f>
        <v>10774383</v>
      </c>
      <c r="I168" s="490">
        <f>SUM(I169:I179)</f>
        <v>10622812</v>
      </c>
      <c r="J168" s="445">
        <f t="shared" si="9"/>
        <v>98.593228029855624</v>
      </c>
    </row>
    <row r="169" spans="1:10" ht="25.5" customHeight="1" x14ac:dyDescent="0.2">
      <c r="A169" s="492">
        <v>4.0999999999999996</v>
      </c>
      <c r="B169" s="47" t="s">
        <v>1675</v>
      </c>
      <c r="C169" s="165" t="s">
        <v>40</v>
      </c>
      <c r="D169" s="167" t="s">
        <v>220</v>
      </c>
      <c r="E169" s="909">
        <v>124</v>
      </c>
      <c r="F169" s="909">
        <v>45</v>
      </c>
      <c r="G169" s="411">
        <f t="shared" si="8"/>
        <v>36.29032258064516</v>
      </c>
      <c r="H169" s="407">
        <v>688090</v>
      </c>
      <c r="I169" s="408">
        <v>687878</v>
      </c>
      <c r="J169" s="404">
        <f t="shared" si="9"/>
        <v>99.969190076879471</v>
      </c>
    </row>
    <row r="170" spans="1:10" ht="24" customHeight="1" x14ac:dyDescent="0.2">
      <c r="A170" s="492">
        <v>4.2</v>
      </c>
      <c r="B170" s="47" t="s">
        <v>1676</v>
      </c>
      <c r="C170" s="165" t="s">
        <v>40</v>
      </c>
      <c r="D170" s="167" t="s">
        <v>259</v>
      </c>
      <c r="E170" s="909">
        <v>1</v>
      </c>
      <c r="F170" s="909">
        <v>1</v>
      </c>
      <c r="G170" s="411">
        <f t="shared" si="8"/>
        <v>100</v>
      </c>
      <c r="H170" s="407">
        <v>93709</v>
      </c>
      <c r="I170" s="408">
        <v>93707</v>
      </c>
      <c r="J170" s="404">
        <f t="shared" si="9"/>
        <v>99.99786573328069</v>
      </c>
    </row>
    <row r="171" spans="1:10" ht="30" customHeight="1" x14ac:dyDescent="0.2">
      <c r="A171" s="492">
        <v>4.3</v>
      </c>
      <c r="B171" s="47" t="s">
        <v>1674</v>
      </c>
      <c r="C171" s="165" t="s">
        <v>40</v>
      </c>
      <c r="D171" s="167" t="s">
        <v>72</v>
      </c>
      <c r="E171" s="909">
        <v>118918</v>
      </c>
      <c r="F171" s="909">
        <v>42660</v>
      </c>
      <c r="G171" s="411">
        <f t="shared" si="8"/>
        <v>35.873459022183354</v>
      </c>
      <c r="H171" s="407">
        <v>655505</v>
      </c>
      <c r="I171" s="408">
        <v>654503</v>
      </c>
      <c r="J171" s="404">
        <f t="shared" si="9"/>
        <v>99.847140754075099</v>
      </c>
    </row>
    <row r="172" spans="1:10" ht="30" customHeight="1" x14ac:dyDescent="0.2">
      <c r="A172" s="492">
        <v>4.4000000000000004</v>
      </c>
      <c r="B172" s="47" t="s">
        <v>354</v>
      </c>
      <c r="C172" s="165" t="s">
        <v>40</v>
      </c>
      <c r="D172" s="165" t="s">
        <v>264</v>
      </c>
      <c r="E172" s="909">
        <v>339</v>
      </c>
      <c r="F172" s="909">
        <v>254</v>
      </c>
      <c r="G172" s="411">
        <f t="shared" si="8"/>
        <v>74.926253687315636</v>
      </c>
      <c r="H172" s="407">
        <v>316674</v>
      </c>
      <c r="I172" s="408">
        <v>316670</v>
      </c>
      <c r="J172" s="404">
        <f t="shared" si="9"/>
        <v>99.99873687135667</v>
      </c>
    </row>
    <row r="173" spans="1:10" ht="30" customHeight="1" x14ac:dyDescent="0.2">
      <c r="A173" s="492">
        <v>4.5</v>
      </c>
      <c r="B173" s="47" t="s">
        <v>1673</v>
      </c>
      <c r="C173" s="165" t="s">
        <v>40</v>
      </c>
      <c r="D173" s="165" t="s">
        <v>257</v>
      </c>
      <c r="E173" s="909">
        <v>208</v>
      </c>
      <c r="F173" s="909">
        <v>92</v>
      </c>
      <c r="G173" s="411">
        <f t="shared" si="8"/>
        <v>44.230769230769234</v>
      </c>
      <c r="H173" s="407">
        <v>354868</v>
      </c>
      <c r="I173" s="408">
        <v>352118</v>
      </c>
      <c r="J173" s="404">
        <f t="shared" si="9"/>
        <v>99.225063967447042</v>
      </c>
    </row>
    <row r="174" spans="1:10" ht="39" customHeight="1" x14ac:dyDescent="0.2">
      <c r="A174" s="492">
        <v>4.5999999999999996</v>
      </c>
      <c r="B174" s="47" t="s">
        <v>1992</v>
      </c>
      <c r="C174" s="165" t="s">
        <v>40</v>
      </c>
      <c r="D174" s="165" t="s">
        <v>338</v>
      </c>
      <c r="E174" s="909">
        <v>18370</v>
      </c>
      <c r="F174" s="909">
        <v>9834</v>
      </c>
      <c r="G174" s="411">
        <f t="shared" si="8"/>
        <v>53.532934131736525</v>
      </c>
      <c r="H174" s="407">
        <v>431648</v>
      </c>
      <c r="I174" s="408">
        <v>422613</v>
      </c>
      <c r="J174" s="404">
        <f t="shared" si="9"/>
        <v>97.906859292757062</v>
      </c>
    </row>
    <row r="175" spans="1:10" ht="39.75" customHeight="1" x14ac:dyDescent="0.2">
      <c r="A175" s="492">
        <v>4.7</v>
      </c>
      <c r="B175" s="47" t="s">
        <v>1993</v>
      </c>
      <c r="C175" s="165" t="s">
        <v>40</v>
      </c>
      <c r="D175" s="165" t="s">
        <v>355</v>
      </c>
      <c r="E175" s="909">
        <v>73486</v>
      </c>
      <c r="F175" s="909">
        <v>60746</v>
      </c>
      <c r="G175" s="411">
        <f t="shared" si="8"/>
        <v>82.663364450371503</v>
      </c>
      <c r="H175" s="407">
        <v>2188424</v>
      </c>
      <c r="I175" s="408">
        <v>2151648</v>
      </c>
      <c r="J175" s="404">
        <f t="shared" si="9"/>
        <v>98.319521262790019</v>
      </c>
    </row>
    <row r="176" spans="1:10" ht="22.5" customHeight="1" x14ac:dyDescent="0.2">
      <c r="A176" s="492">
        <v>4.8</v>
      </c>
      <c r="B176" s="47" t="s">
        <v>356</v>
      </c>
      <c r="C176" s="165" t="s">
        <v>40</v>
      </c>
      <c r="D176" s="165" t="s">
        <v>357</v>
      </c>
      <c r="E176" s="909">
        <v>136490</v>
      </c>
      <c r="F176" s="909">
        <v>174348</v>
      </c>
      <c r="G176" s="411">
        <f t="shared" si="8"/>
        <v>127.73683053703569</v>
      </c>
      <c r="H176" s="407">
        <v>692989</v>
      </c>
      <c r="I176" s="408">
        <v>692689</v>
      </c>
      <c r="J176" s="404">
        <f t="shared" si="9"/>
        <v>99.956709269555517</v>
      </c>
    </row>
    <row r="177" spans="1:10" ht="26.25" customHeight="1" x14ac:dyDescent="0.2">
      <c r="A177" s="492">
        <v>4.9000000000000004</v>
      </c>
      <c r="B177" s="47" t="s">
        <v>1679</v>
      </c>
      <c r="C177" s="165" t="s">
        <v>40</v>
      </c>
      <c r="D177" s="165" t="s">
        <v>342</v>
      </c>
      <c r="E177" s="909">
        <v>56275</v>
      </c>
      <c r="F177" s="909">
        <v>28841</v>
      </c>
      <c r="G177" s="411">
        <f t="shared" si="8"/>
        <v>51.250111061750331</v>
      </c>
      <c r="H177" s="407">
        <v>2507026</v>
      </c>
      <c r="I177" s="408">
        <v>2489503</v>
      </c>
      <c r="J177" s="404">
        <f t="shared" si="9"/>
        <v>99.301044344972894</v>
      </c>
    </row>
    <row r="178" spans="1:10" ht="23.25" customHeight="1" x14ac:dyDescent="0.2">
      <c r="A178" s="493" t="s">
        <v>1963</v>
      </c>
      <c r="B178" s="47" t="s">
        <v>358</v>
      </c>
      <c r="C178" s="165" t="s">
        <v>40</v>
      </c>
      <c r="D178" s="165" t="s">
        <v>342</v>
      </c>
      <c r="E178" s="909">
        <v>30431</v>
      </c>
      <c r="F178" s="909">
        <v>13846</v>
      </c>
      <c r="G178" s="411">
        <f t="shared" si="8"/>
        <v>45.4996549571161</v>
      </c>
      <c r="H178" s="407">
        <v>1207614</v>
      </c>
      <c r="I178" s="408">
        <v>1129722</v>
      </c>
      <c r="J178" s="404">
        <f t="shared" si="9"/>
        <v>93.549925721298365</v>
      </c>
    </row>
    <row r="179" spans="1:10" ht="24.75" customHeight="1" x14ac:dyDescent="0.2">
      <c r="A179" s="492">
        <v>4.1100000000000003</v>
      </c>
      <c r="B179" s="47" t="s">
        <v>359</v>
      </c>
      <c r="C179" s="165" t="s">
        <v>40</v>
      </c>
      <c r="D179" s="167" t="s">
        <v>262</v>
      </c>
      <c r="E179" s="909">
        <v>1767</v>
      </c>
      <c r="F179" s="909">
        <v>560</v>
      </c>
      <c r="G179" s="411">
        <f t="shared" si="8"/>
        <v>31.692133559705717</v>
      </c>
      <c r="H179" s="407">
        <v>1637836</v>
      </c>
      <c r="I179" s="408">
        <v>1631761</v>
      </c>
      <c r="J179" s="404">
        <f t="shared" si="9"/>
        <v>99.629083742206177</v>
      </c>
    </row>
    <row r="180" spans="1:10" ht="21.75" customHeight="1" x14ac:dyDescent="0.2">
      <c r="A180" s="439">
        <v>5</v>
      </c>
      <c r="B180" s="440" t="s">
        <v>360</v>
      </c>
      <c r="C180" s="441"/>
      <c r="D180" s="442"/>
      <c r="E180" s="776">
        <v>0</v>
      </c>
      <c r="F180" s="776"/>
      <c r="G180" s="443"/>
      <c r="H180" s="449">
        <f>SUM(H181:H200)</f>
        <v>16957499</v>
      </c>
      <c r="I180" s="450">
        <f>SUM(I181:I200)</f>
        <v>16585849</v>
      </c>
      <c r="J180" s="445">
        <f t="shared" si="9"/>
        <v>97.808344261143702</v>
      </c>
    </row>
    <row r="181" spans="1:10" ht="30" customHeight="1" x14ac:dyDescent="0.2">
      <c r="A181" s="492">
        <v>5.0999999999999996</v>
      </c>
      <c r="B181" s="47" t="s">
        <v>361</v>
      </c>
      <c r="C181" s="165" t="s">
        <v>40</v>
      </c>
      <c r="D181" s="165" t="s">
        <v>342</v>
      </c>
      <c r="E181" s="909">
        <v>134607</v>
      </c>
      <c r="F181" s="909">
        <v>23157</v>
      </c>
      <c r="G181" s="411">
        <f t="shared" si="8"/>
        <v>17.203414384095925</v>
      </c>
      <c r="H181" s="407">
        <v>2754071</v>
      </c>
      <c r="I181" s="408">
        <v>2583103</v>
      </c>
      <c r="J181" s="404">
        <f t="shared" si="9"/>
        <v>93.792171661514899</v>
      </c>
    </row>
    <row r="182" spans="1:10" ht="30" customHeight="1" x14ac:dyDescent="0.2">
      <c r="A182" s="492">
        <v>5.2</v>
      </c>
      <c r="B182" s="23" t="s">
        <v>362</v>
      </c>
      <c r="C182" s="165" t="s">
        <v>40</v>
      </c>
      <c r="D182" s="165" t="s">
        <v>342</v>
      </c>
      <c r="E182" s="909">
        <v>36584</v>
      </c>
      <c r="F182" s="909">
        <v>1001</v>
      </c>
      <c r="G182" s="411">
        <f t="shared" si="8"/>
        <v>2.7361688169691667</v>
      </c>
      <c r="H182" s="407">
        <v>391071</v>
      </c>
      <c r="I182" s="408">
        <v>351023</v>
      </c>
      <c r="J182" s="404">
        <f t="shared" si="9"/>
        <v>89.75940430254353</v>
      </c>
    </row>
    <row r="183" spans="1:10" ht="30" customHeight="1" x14ac:dyDescent="0.2">
      <c r="A183" s="492">
        <v>5.3</v>
      </c>
      <c r="B183" s="23" t="s">
        <v>363</v>
      </c>
      <c r="C183" s="165" t="s">
        <v>40</v>
      </c>
      <c r="D183" s="165" t="s">
        <v>342</v>
      </c>
      <c r="E183" s="909">
        <v>3314</v>
      </c>
      <c r="F183" s="909">
        <v>187</v>
      </c>
      <c r="G183" s="411">
        <f t="shared" si="8"/>
        <v>5.6427278213639109</v>
      </c>
      <c r="H183" s="407">
        <v>467856</v>
      </c>
      <c r="I183" s="408">
        <v>457355</v>
      </c>
      <c r="J183" s="404">
        <f t="shared" si="9"/>
        <v>97.755505967648176</v>
      </c>
    </row>
    <row r="184" spans="1:10" ht="30" customHeight="1" x14ac:dyDescent="0.2">
      <c r="A184" s="492">
        <v>5.4</v>
      </c>
      <c r="B184" s="23" t="s">
        <v>1994</v>
      </c>
      <c r="C184" s="165" t="s">
        <v>40</v>
      </c>
      <c r="D184" s="165" t="s">
        <v>1995</v>
      </c>
      <c r="E184" s="909">
        <v>10000</v>
      </c>
      <c r="F184" s="909">
        <v>3500</v>
      </c>
      <c r="G184" s="411">
        <f t="shared" si="8"/>
        <v>35</v>
      </c>
      <c r="H184" s="407">
        <v>65190</v>
      </c>
      <c r="I184" s="408">
        <v>23190</v>
      </c>
      <c r="J184" s="404">
        <f t="shared" si="9"/>
        <v>35.572940635066729</v>
      </c>
    </row>
    <row r="185" spans="1:10" ht="30" customHeight="1" x14ac:dyDescent="0.2">
      <c r="A185" s="492">
        <v>5.5</v>
      </c>
      <c r="B185" s="23" t="s">
        <v>1971</v>
      </c>
      <c r="C185" s="165" t="s">
        <v>40</v>
      </c>
      <c r="D185" s="165" t="s">
        <v>1995</v>
      </c>
      <c r="E185" s="909">
        <v>10000</v>
      </c>
      <c r="F185" s="909">
        <v>3400</v>
      </c>
      <c r="G185" s="411">
        <f t="shared" si="8"/>
        <v>34</v>
      </c>
      <c r="H185" s="407">
        <v>73208</v>
      </c>
      <c r="I185" s="408">
        <v>67958</v>
      </c>
      <c r="J185" s="404">
        <f t="shared" si="9"/>
        <v>92.828652606272541</v>
      </c>
    </row>
    <row r="186" spans="1:10" ht="26.25" customHeight="1" x14ac:dyDescent="0.2">
      <c r="A186" s="492">
        <v>5.6</v>
      </c>
      <c r="B186" s="47" t="s">
        <v>364</v>
      </c>
      <c r="C186" s="165" t="s">
        <v>40</v>
      </c>
      <c r="D186" s="165" t="s">
        <v>365</v>
      </c>
      <c r="E186" s="909">
        <v>10000</v>
      </c>
      <c r="F186" s="909">
        <v>500</v>
      </c>
      <c r="G186" s="411">
        <f t="shared" si="8"/>
        <v>5</v>
      </c>
      <c r="H186" s="407">
        <v>580079</v>
      </c>
      <c r="I186" s="408">
        <v>555790</v>
      </c>
      <c r="J186" s="404">
        <f t="shared" si="9"/>
        <v>95.812811703233521</v>
      </c>
    </row>
    <row r="187" spans="1:10" ht="24.75" customHeight="1" x14ac:dyDescent="0.2">
      <c r="A187" s="492">
        <v>5.7</v>
      </c>
      <c r="B187" s="47" t="s">
        <v>366</v>
      </c>
      <c r="C187" s="165" t="s">
        <v>40</v>
      </c>
      <c r="D187" s="165" t="s">
        <v>367</v>
      </c>
      <c r="E187" s="909">
        <v>195</v>
      </c>
      <c r="F187" s="909">
        <v>49</v>
      </c>
      <c r="G187" s="411">
        <f t="shared" si="8"/>
        <v>25.128205128205128</v>
      </c>
      <c r="H187" s="407">
        <v>48363</v>
      </c>
      <c r="I187" s="408">
        <v>34584</v>
      </c>
      <c r="J187" s="404">
        <f t="shared" si="9"/>
        <v>71.509211587370515</v>
      </c>
    </row>
    <row r="188" spans="1:10" ht="24.75" customHeight="1" x14ac:dyDescent="0.2">
      <c r="A188" s="492">
        <v>5.8</v>
      </c>
      <c r="B188" s="47" t="s">
        <v>1972</v>
      </c>
      <c r="C188" s="165" t="s">
        <v>40</v>
      </c>
      <c r="D188" s="165" t="s">
        <v>367</v>
      </c>
      <c r="E188" s="909">
        <v>300000</v>
      </c>
      <c r="F188" s="909">
        <v>5000</v>
      </c>
      <c r="G188" s="411">
        <f t="shared" si="8"/>
        <v>1.6666666666666667</v>
      </c>
      <c r="H188" s="407">
        <v>196683</v>
      </c>
      <c r="I188" s="408">
        <v>188862</v>
      </c>
      <c r="J188" s="404">
        <f t="shared" si="9"/>
        <v>96.023550586476716</v>
      </c>
    </row>
    <row r="189" spans="1:10" ht="26.25" customHeight="1" x14ac:dyDescent="0.2">
      <c r="A189" s="492">
        <v>5.9</v>
      </c>
      <c r="B189" s="47" t="s">
        <v>368</v>
      </c>
      <c r="C189" s="165" t="s">
        <v>40</v>
      </c>
      <c r="D189" s="165" t="s">
        <v>367</v>
      </c>
      <c r="E189" s="909">
        <v>17750</v>
      </c>
      <c r="F189" s="909">
        <v>120</v>
      </c>
      <c r="G189" s="411">
        <f t="shared" si="8"/>
        <v>0.676056338028169</v>
      </c>
      <c r="H189" s="407">
        <v>37146</v>
      </c>
      <c r="I189" s="408">
        <v>16671</v>
      </c>
      <c r="J189" s="404">
        <f t="shared" si="9"/>
        <v>44.879664028428365</v>
      </c>
    </row>
    <row r="190" spans="1:10" ht="30" customHeight="1" x14ac:dyDescent="0.2">
      <c r="A190" s="494">
        <v>5.0999999999999996</v>
      </c>
      <c r="B190" s="48" t="s">
        <v>1973</v>
      </c>
      <c r="C190" s="165" t="s">
        <v>40</v>
      </c>
      <c r="D190" s="167" t="s">
        <v>369</v>
      </c>
      <c r="E190" s="909">
        <v>85234</v>
      </c>
      <c r="F190" s="910">
        <v>30333</v>
      </c>
      <c r="G190" s="411">
        <f t="shared" si="8"/>
        <v>35.587910927564117</v>
      </c>
      <c r="H190" s="407">
        <v>719996</v>
      </c>
      <c r="I190" s="408">
        <v>712898</v>
      </c>
      <c r="J190" s="404">
        <f t="shared" si="9"/>
        <v>99.014161189784389</v>
      </c>
    </row>
    <row r="191" spans="1:10" ht="30" customHeight="1" x14ac:dyDescent="0.2">
      <c r="A191" s="492">
        <v>5.1100000000000003</v>
      </c>
      <c r="B191" s="47" t="s">
        <v>370</v>
      </c>
      <c r="C191" s="165" t="s">
        <v>40</v>
      </c>
      <c r="D191" s="165" t="s">
        <v>367</v>
      </c>
      <c r="E191" s="909">
        <v>44895</v>
      </c>
      <c r="F191" s="909">
        <v>12465</v>
      </c>
      <c r="G191" s="411">
        <f t="shared" si="8"/>
        <v>27.76478449716004</v>
      </c>
      <c r="H191" s="407">
        <v>3121665</v>
      </c>
      <c r="I191" s="408">
        <v>3113465</v>
      </c>
      <c r="J191" s="404">
        <f t="shared" si="9"/>
        <v>99.737319667549201</v>
      </c>
    </row>
    <row r="192" spans="1:10" ht="26.25" customHeight="1" x14ac:dyDescent="0.2">
      <c r="A192" s="492">
        <v>5.12</v>
      </c>
      <c r="B192" s="47" t="s">
        <v>371</v>
      </c>
      <c r="C192" s="165" t="s">
        <v>40</v>
      </c>
      <c r="D192" s="165" t="s">
        <v>367</v>
      </c>
      <c r="E192" s="909">
        <v>30519</v>
      </c>
      <c r="F192" s="909">
        <v>5687</v>
      </c>
      <c r="G192" s="411">
        <f t="shared" si="8"/>
        <v>18.634293391002327</v>
      </c>
      <c r="H192" s="407">
        <v>1481628</v>
      </c>
      <c r="I192" s="408">
        <v>1478731</v>
      </c>
      <c r="J192" s="404">
        <f t="shared" si="9"/>
        <v>99.804471837735235</v>
      </c>
    </row>
    <row r="193" spans="1:10" ht="27.75" customHeight="1" x14ac:dyDescent="0.2">
      <c r="A193" s="494">
        <v>5.13</v>
      </c>
      <c r="B193" s="47" t="s">
        <v>372</v>
      </c>
      <c r="C193" s="165" t="s">
        <v>40</v>
      </c>
      <c r="D193" s="165" t="s">
        <v>220</v>
      </c>
      <c r="E193" s="909">
        <v>17161</v>
      </c>
      <c r="F193" s="909">
        <v>7019</v>
      </c>
      <c r="G193" s="411">
        <f t="shared" si="8"/>
        <v>40.900879902103604</v>
      </c>
      <c r="H193" s="407">
        <v>836921</v>
      </c>
      <c r="I193" s="408">
        <v>830225</v>
      </c>
      <c r="J193" s="404">
        <f t="shared" si="9"/>
        <v>99.19992448510672</v>
      </c>
    </row>
    <row r="194" spans="1:10" ht="25.5" customHeight="1" x14ac:dyDescent="0.2">
      <c r="A194" s="492">
        <v>5.14</v>
      </c>
      <c r="B194" s="47" t="s">
        <v>373</v>
      </c>
      <c r="C194" s="165" t="s">
        <v>40</v>
      </c>
      <c r="D194" s="165" t="s">
        <v>259</v>
      </c>
      <c r="E194" s="909">
        <v>14499</v>
      </c>
      <c r="F194" s="909">
        <v>2104</v>
      </c>
      <c r="G194" s="411">
        <f t="shared" si="8"/>
        <v>14.511345610042072</v>
      </c>
      <c r="H194" s="407">
        <v>325958</v>
      </c>
      <c r="I194" s="408">
        <v>325956</v>
      </c>
      <c r="J194" s="404">
        <f t="shared" si="9"/>
        <v>99.999386424017828</v>
      </c>
    </row>
    <row r="195" spans="1:10" ht="39.75" customHeight="1" x14ac:dyDescent="0.2">
      <c r="A195" s="494">
        <v>5.15</v>
      </c>
      <c r="B195" s="47" t="s">
        <v>374</v>
      </c>
      <c r="C195" s="165" t="s">
        <v>40</v>
      </c>
      <c r="D195" s="167" t="s">
        <v>287</v>
      </c>
      <c r="E195" s="909">
        <v>14052</v>
      </c>
      <c r="F195" s="909">
        <v>5655</v>
      </c>
      <c r="G195" s="411">
        <f t="shared" si="8"/>
        <v>40.243381725021351</v>
      </c>
      <c r="H195" s="407">
        <v>1979499</v>
      </c>
      <c r="I195" s="408">
        <v>1978510</v>
      </c>
      <c r="J195" s="404">
        <f t="shared" si="9"/>
        <v>99.950037863115867</v>
      </c>
    </row>
    <row r="196" spans="1:10" ht="54" customHeight="1" x14ac:dyDescent="0.2">
      <c r="A196" s="492">
        <v>5.16</v>
      </c>
      <c r="B196" s="597" t="s">
        <v>2300</v>
      </c>
      <c r="C196" s="165" t="s">
        <v>40</v>
      </c>
      <c r="D196" s="165" t="s">
        <v>72</v>
      </c>
      <c r="E196" s="909">
        <v>5612</v>
      </c>
      <c r="F196" s="909">
        <v>2032</v>
      </c>
      <c r="G196" s="411">
        <f t="shared" si="8"/>
        <v>36.208125445473982</v>
      </c>
      <c r="H196" s="407">
        <v>545502</v>
      </c>
      <c r="I196" s="408">
        <v>545500</v>
      </c>
      <c r="J196" s="404">
        <f t="shared" si="9"/>
        <v>99.999633365230551</v>
      </c>
    </row>
    <row r="197" spans="1:10" ht="52.5" customHeight="1" x14ac:dyDescent="0.2">
      <c r="A197" s="494">
        <v>5.17</v>
      </c>
      <c r="B197" s="47" t="s">
        <v>375</v>
      </c>
      <c r="C197" s="165" t="s">
        <v>40</v>
      </c>
      <c r="D197" s="167" t="s">
        <v>85</v>
      </c>
      <c r="E197" s="909">
        <v>426</v>
      </c>
      <c r="F197" s="909">
        <v>190</v>
      </c>
      <c r="G197" s="411">
        <f t="shared" si="8"/>
        <v>44.600938967136152</v>
      </c>
      <c r="H197" s="407">
        <v>763726</v>
      </c>
      <c r="I197" s="408">
        <v>763723</v>
      </c>
      <c r="J197" s="404">
        <f t="shared" si="9"/>
        <v>99.999607188965683</v>
      </c>
    </row>
    <row r="198" spans="1:10" ht="39.75" customHeight="1" x14ac:dyDescent="0.2">
      <c r="A198" s="492">
        <v>5.18</v>
      </c>
      <c r="B198" s="47" t="s">
        <v>376</v>
      </c>
      <c r="C198" s="165" t="s">
        <v>40</v>
      </c>
      <c r="D198" s="167" t="s">
        <v>257</v>
      </c>
      <c r="E198" s="909">
        <v>96350</v>
      </c>
      <c r="F198" s="909">
        <v>2028</v>
      </c>
      <c r="G198" s="411">
        <f t="shared" si="8"/>
        <v>2.1048261546445253</v>
      </c>
      <c r="H198" s="407">
        <v>1296</v>
      </c>
      <c r="I198" s="408">
        <v>1296</v>
      </c>
      <c r="J198" s="404">
        <f t="shared" si="9"/>
        <v>100</v>
      </c>
    </row>
    <row r="199" spans="1:10" ht="25.5" customHeight="1" x14ac:dyDescent="0.2">
      <c r="A199" s="494">
        <v>5.19</v>
      </c>
      <c r="B199" s="47" t="s">
        <v>377</v>
      </c>
      <c r="C199" s="165" t="s">
        <v>40</v>
      </c>
      <c r="D199" s="165" t="s">
        <v>340</v>
      </c>
      <c r="E199" s="909">
        <v>11</v>
      </c>
      <c r="F199" s="909">
        <v>4</v>
      </c>
      <c r="G199" s="411">
        <f t="shared" si="8"/>
        <v>36.363636363636367</v>
      </c>
      <c r="H199" s="407">
        <v>1926469</v>
      </c>
      <c r="I199" s="408">
        <v>1918616</v>
      </c>
      <c r="J199" s="404">
        <f t="shared" si="9"/>
        <v>99.592363022711496</v>
      </c>
    </row>
    <row r="200" spans="1:10" ht="24" customHeight="1" x14ac:dyDescent="0.2">
      <c r="A200" s="493" t="s">
        <v>1964</v>
      </c>
      <c r="B200" s="47" t="s">
        <v>378</v>
      </c>
      <c r="C200" s="165" t="s">
        <v>40</v>
      </c>
      <c r="D200" s="165" t="s">
        <v>340</v>
      </c>
      <c r="E200" s="909">
        <v>35500</v>
      </c>
      <c r="F200" s="909">
        <v>17750</v>
      </c>
      <c r="G200" s="411">
        <f t="shared" si="8"/>
        <v>50</v>
      </c>
      <c r="H200" s="407">
        <v>641172</v>
      </c>
      <c r="I200" s="408">
        <v>638393</v>
      </c>
      <c r="J200" s="404">
        <f t="shared" si="9"/>
        <v>99.566574959605219</v>
      </c>
    </row>
    <row r="201" spans="1:10" ht="21" customHeight="1" x14ac:dyDescent="0.2">
      <c r="A201" s="439">
        <v>6</v>
      </c>
      <c r="B201" s="440" t="s">
        <v>379</v>
      </c>
      <c r="C201" s="441"/>
      <c r="D201" s="442"/>
      <c r="E201" s="776">
        <v>0</v>
      </c>
      <c r="F201" s="776"/>
      <c r="G201" s="443"/>
      <c r="H201" s="449">
        <f>SUM(H202:H226)</f>
        <v>10269514</v>
      </c>
      <c r="I201" s="450">
        <f>SUM(I202:I226)</f>
        <v>9552873</v>
      </c>
      <c r="J201" s="445">
        <f t="shared" si="9"/>
        <v>93.021665874353943</v>
      </c>
    </row>
    <row r="202" spans="1:10" ht="27.75" customHeight="1" x14ac:dyDescent="0.2">
      <c r="A202" s="492">
        <v>6.1</v>
      </c>
      <c r="B202" s="47" t="s">
        <v>380</v>
      </c>
      <c r="C202" s="165" t="s">
        <v>40</v>
      </c>
      <c r="D202" s="167" t="s">
        <v>287</v>
      </c>
      <c r="E202" s="909">
        <v>61914</v>
      </c>
      <c r="F202" s="909">
        <v>22596</v>
      </c>
      <c r="G202" s="411">
        <f t="shared" si="8"/>
        <v>36.495784475239851</v>
      </c>
      <c r="H202" s="407">
        <v>3093164</v>
      </c>
      <c r="I202" s="408">
        <v>2865110</v>
      </c>
      <c r="J202" s="404">
        <f t="shared" si="9"/>
        <v>92.627161055799178</v>
      </c>
    </row>
    <row r="203" spans="1:10" ht="18.75" customHeight="1" x14ac:dyDescent="0.2">
      <c r="A203" s="492">
        <v>6.2</v>
      </c>
      <c r="B203" s="47" t="s">
        <v>381</v>
      </c>
      <c r="C203" s="165" t="s">
        <v>40</v>
      </c>
      <c r="D203" s="165" t="s">
        <v>47</v>
      </c>
      <c r="E203" s="909">
        <v>35</v>
      </c>
      <c r="F203" s="909">
        <v>12</v>
      </c>
      <c r="G203" s="411">
        <f t="shared" si="8"/>
        <v>34.285714285714285</v>
      </c>
      <c r="H203" s="407">
        <v>122006</v>
      </c>
      <c r="I203" s="408">
        <v>93128</v>
      </c>
      <c r="J203" s="404">
        <f t="shared" si="9"/>
        <v>76.330672262019903</v>
      </c>
    </row>
    <row r="204" spans="1:10" ht="21" customHeight="1" x14ac:dyDescent="0.2">
      <c r="A204" s="492">
        <v>6.3</v>
      </c>
      <c r="B204" s="23" t="s">
        <v>382</v>
      </c>
      <c r="C204" s="165" t="s">
        <v>40</v>
      </c>
      <c r="D204" s="165" t="s">
        <v>47</v>
      </c>
      <c r="E204" s="909">
        <v>590</v>
      </c>
      <c r="F204" s="909">
        <v>590</v>
      </c>
      <c r="G204" s="411">
        <f t="shared" si="8"/>
        <v>100</v>
      </c>
      <c r="H204" s="407">
        <v>290055</v>
      </c>
      <c r="I204" s="408">
        <v>290054</v>
      </c>
      <c r="J204" s="404">
        <f t="shared" si="9"/>
        <v>99.999655237799729</v>
      </c>
    </row>
    <row r="205" spans="1:10" ht="26.25" customHeight="1" x14ac:dyDescent="0.2">
      <c r="A205" s="492">
        <v>6.4</v>
      </c>
      <c r="B205" s="47" t="s">
        <v>383</v>
      </c>
      <c r="C205" s="165" t="s">
        <v>40</v>
      </c>
      <c r="D205" s="165" t="s">
        <v>220</v>
      </c>
      <c r="E205" s="909">
        <v>53</v>
      </c>
      <c r="F205" s="909">
        <v>15</v>
      </c>
      <c r="G205" s="411">
        <f t="shared" si="8"/>
        <v>28.30188679245283</v>
      </c>
      <c r="H205" s="407">
        <v>497004</v>
      </c>
      <c r="I205" s="408">
        <v>496216</v>
      </c>
      <c r="J205" s="404">
        <f t="shared" si="9"/>
        <v>99.841449968209517</v>
      </c>
    </row>
    <row r="206" spans="1:10" ht="30" customHeight="1" x14ac:dyDescent="0.2">
      <c r="A206" s="492">
        <v>6.5</v>
      </c>
      <c r="B206" s="47" t="s">
        <v>1974</v>
      </c>
      <c r="C206" s="165" t="s">
        <v>40</v>
      </c>
      <c r="D206" s="165" t="s">
        <v>47</v>
      </c>
      <c r="E206" s="909">
        <v>4500</v>
      </c>
      <c r="F206" s="909">
        <v>3000</v>
      </c>
      <c r="G206" s="411">
        <f t="shared" si="8"/>
        <v>66.666666666666671</v>
      </c>
      <c r="H206" s="407">
        <v>12900</v>
      </c>
      <c r="I206" s="408">
        <v>8300</v>
      </c>
      <c r="J206" s="404">
        <f t="shared" si="9"/>
        <v>64.341085271317837</v>
      </c>
    </row>
    <row r="207" spans="1:10" ht="30" customHeight="1" x14ac:dyDescent="0.2">
      <c r="A207" s="492">
        <v>6.6</v>
      </c>
      <c r="B207" s="47" t="s">
        <v>1996</v>
      </c>
      <c r="C207" s="165" t="s">
        <v>40</v>
      </c>
      <c r="D207" s="165" t="s">
        <v>47</v>
      </c>
      <c r="E207" s="909">
        <v>10</v>
      </c>
      <c r="F207" s="909">
        <v>5</v>
      </c>
      <c r="G207" s="411">
        <f t="shared" si="8"/>
        <v>50</v>
      </c>
      <c r="H207" s="407">
        <v>3000</v>
      </c>
      <c r="I207" s="408">
        <v>3000</v>
      </c>
      <c r="J207" s="404">
        <f t="shared" si="9"/>
        <v>100</v>
      </c>
    </row>
    <row r="208" spans="1:10" ht="24" customHeight="1" x14ac:dyDescent="0.2">
      <c r="A208" s="492">
        <v>6.7</v>
      </c>
      <c r="B208" s="47" t="s">
        <v>1975</v>
      </c>
      <c r="C208" s="165" t="s">
        <v>40</v>
      </c>
      <c r="D208" s="165" t="s">
        <v>346</v>
      </c>
      <c r="E208" s="909">
        <v>1000</v>
      </c>
      <c r="F208" s="909">
        <v>1000</v>
      </c>
      <c r="G208" s="411">
        <f t="shared" si="8"/>
        <v>100</v>
      </c>
      <c r="H208" s="407">
        <v>39571</v>
      </c>
      <c r="I208" s="408">
        <v>39569</v>
      </c>
      <c r="J208" s="404">
        <f t="shared" si="9"/>
        <v>99.994945793636759</v>
      </c>
    </row>
    <row r="209" spans="1:10" ht="23.25" customHeight="1" x14ac:dyDescent="0.2">
      <c r="A209" s="492">
        <v>6.8</v>
      </c>
      <c r="B209" s="47" t="s">
        <v>1976</v>
      </c>
      <c r="C209" s="165" t="s">
        <v>40</v>
      </c>
      <c r="D209" s="165" t="s">
        <v>346</v>
      </c>
      <c r="E209" s="909">
        <v>15</v>
      </c>
      <c r="F209" s="909">
        <v>15</v>
      </c>
      <c r="G209" s="411">
        <f t="shared" si="8"/>
        <v>100</v>
      </c>
      <c r="H209" s="407">
        <v>2000</v>
      </c>
      <c r="I209" s="408">
        <v>2000</v>
      </c>
      <c r="J209" s="404">
        <f t="shared" si="9"/>
        <v>100</v>
      </c>
    </row>
    <row r="210" spans="1:10" ht="24.75" customHeight="1" x14ac:dyDescent="0.2">
      <c r="A210" s="492">
        <v>6.9</v>
      </c>
      <c r="B210" s="47" t="s">
        <v>1977</v>
      </c>
      <c r="C210" s="165" t="s">
        <v>40</v>
      </c>
      <c r="D210" s="165" t="s">
        <v>47</v>
      </c>
      <c r="E210" s="909">
        <v>10</v>
      </c>
      <c r="F210" s="909">
        <v>10</v>
      </c>
      <c r="G210" s="411">
        <f t="shared" si="8"/>
        <v>100</v>
      </c>
      <c r="H210" s="407">
        <v>2460</v>
      </c>
      <c r="I210" s="408">
        <v>2460</v>
      </c>
      <c r="J210" s="404">
        <f t="shared" si="9"/>
        <v>100</v>
      </c>
    </row>
    <row r="211" spans="1:10" ht="37.5" customHeight="1" x14ac:dyDescent="0.2">
      <c r="A211" s="494">
        <v>6.1</v>
      </c>
      <c r="B211" s="47" t="s">
        <v>384</v>
      </c>
      <c r="C211" s="165" t="s">
        <v>40</v>
      </c>
      <c r="D211" s="167" t="s">
        <v>287</v>
      </c>
      <c r="E211" s="909">
        <v>50292</v>
      </c>
      <c r="F211" s="909">
        <v>13189</v>
      </c>
      <c r="G211" s="411">
        <f t="shared" si="8"/>
        <v>26.224846894138231</v>
      </c>
      <c r="H211" s="407">
        <v>1517962</v>
      </c>
      <c r="I211" s="408">
        <v>1418870</v>
      </c>
      <c r="J211" s="404">
        <f t="shared" si="9"/>
        <v>93.472036849407303</v>
      </c>
    </row>
    <row r="212" spans="1:10" ht="24" customHeight="1" x14ac:dyDescent="0.2">
      <c r="A212" s="492">
        <v>6.11</v>
      </c>
      <c r="B212" s="47" t="s">
        <v>385</v>
      </c>
      <c r="C212" s="165" t="s">
        <v>40</v>
      </c>
      <c r="D212" s="167" t="s">
        <v>287</v>
      </c>
      <c r="E212" s="909">
        <v>13</v>
      </c>
      <c r="F212" s="910">
        <v>13</v>
      </c>
      <c r="G212" s="411">
        <f t="shared" si="8"/>
        <v>100</v>
      </c>
      <c r="H212" s="407">
        <v>259292</v>
      </c>
      <c r="I212" s="408">
        <v>253050</v>
      </c>
      <c r="J212" s="404">
        <f t="shared" si="9"/>
        <v>97.592675439273108</v>
      </c>
    </row>
    <row r="213" spans="1:10" ht="21.75" customHeight="1" x14ac:dyDescent="0.2">
      <c r="A213" s="492">
        <v>6.12</v>
      </c>
      <c r="B213" s="47" t="s">
        <v>386</v>
      </c>
      <c r="C213" s="165" t="s">
        <v>40</v>
      </c>
      <c r="D213" s="165" t="s">
        <v>47</v>
      </c>
      <c r="E213" s="909">
        <v>24840</v>
      </c>
      <c r="F213" s="909">
        <v>22379</v>
      </c>
      <c r="G213" s="411">
        <f t="shared" si="8"/>
        <v>90.092592592592595</v>
      </c>
      <c r="H213" s="407">
        <v>868758</v>
      </c>
      <c r="I213" s="408">
        <v>744982</v>
      </c>
      <c r="J213" s="404">
        <f t="shared" si="9"/>
        <v>85.752534077384041</v>
      </c>
    </row>
    <row r="214" spans="1:10" ht="25.5" customHeight="1" x14ac:dyDescent="0.2">
      <c r="A214" s="495">
        <v>6.13</v>
      </c>
      <c r="B214" s="47" t="s">
        <v>387</v>
      </c>
      <c r="C214" s="165" t="s">
        <v>40</v>
      </c>
      <c r="D214" s="165" t="s">
        <v>47</v>
      </c>
      <c r="E214" s="909">
        <v>46316</v>
      </c>
      <c r="F214" s="909">
        <v>31622</v>
      </c>
      <c r="G214" s="411">
        <f t="shared" si="8"/>
        <v>68.274462388807322</v>
      </c>
      <c r="H214" s="407">
        <v>419106</v>
      </c>
      <c r="I214" s="408">
        <v>310100</v>
      </c>
      <c r="J214" s="404">
        <f t="shared" si="9"/>
        <v>73.990828095994814</v>
      </c>
    </row>
    <row r="215" spans="1:10" ht="24" customHeight="1" x14ac:dyDescent="0.2">
      <c r="A215" s="492">
        <v>6.14</v>
      </c>
      <c r="B215" s="47" t="s">
        <v>388</v>
      </c>
      <c r="C215" s="165" t="s">
        <v>40</v>
      </c>
      <c r="D215" s="165" t="s">
        <v>47</v>
      </c>
      <c r="E215" s="909">
        <v>16000</v>
      </c>
      <c r="F215" s="909">
        <v>1131</v>
      </c>
      <c r="G215" s="411">
        <f t="shared" si="8"/>
        <v>7.0687499999999996</v>
      </c>
      <c r="H215" s="407">
        <v>344077</v>
      </c>
      <c r="I215" s="408">
        <v>327224</v>
      </c>
      <c r="J215" s="404">
        <f t="shared" si="9"/>
        <v>95.101968454735413</v>
      </c>
    </row>
    <row r="216" spans="1:10" ht="30" customHeight="1" x14ac:dyDescent="0.2">
      <c r="A216" s="494">
        <v>6.15</v>
      </c>
      <c r="B216" s="23" t="s">
        <v>389</v>
      </c>
      <c r="C216" s="165" t="s">
        <v>40</v>
      </c>
      <c r="D216" s="165" t="s">
        <v>47</v>
      </c>
      <c r="E216" s="909">
        <v>29590</v>
      </c>
      <c r="F216" s="909">
        <v>29590</v>
      </c>
      <c r="G216" s="411">
        <f t="shared" si="8"/>
        <v>100</v>
      </c>
      <c r="H216" s="407">
        <v>311493</v>
      </c>
      <c r="I216" s="408">
        <v>296599</v>
      </c>
      <c r="J216" s="404">
        <f t="shared" si="9"/>
        <v>95.21851213349899</v>
      </c>
    </row>
    <row r="217" spans="1:10" ht="30" customHeight="1" x14ac:dyDescent="0.2">
      <c r="A217" s="494">
        <v>6.16</v>
      </c>
      <c r="B217" s="47" t="s">
        <v>390</v>
      </c>
      <c r="C217" s="165" t="s">
        <v>40</v>
      </c>
      <c r="D217" s="165" t="s">
        <v>47</v>
      </c>
      <c r="E217" s="909">
        <v>7728</v>
      </c>
      <c r="F217" s="909">
        <v>7728</v>
      </c>
      <c r="G217" s="411">
        <f t="shared" si="8"/>
        <v>100</v>
      </c>
      <c r="H217" s="407">
        <v>279600</v>
      </c>
      <c r="I217" s="408">
        <v>266979</v>
      </c>
      <c r="J217" s="404">
        <f t="shared" si="9"/>
        <v>95.486051502145912</v>
      </c>
    </row>
    <row r="218" spans="1:10" ht="30" customHeight="1" x14ac:dyDescent="0.2">
      <c r="A218" s="492">
        <v>6.17</v>
      </c>
      <c r="B218" s="23" t="s">
        <v>391</v>
      </c>
      <c r="C218" s="165" t="s">
        <v>40</v>
      </c>
      <c r="D218" s="165" t="s">
        <v>47</v>
      </c>
      <c r="E218" s="909">
        <v>9570</v>
      </c>
      <c r="F218" s="909">
        <v>4783</v>
      </c>
      <c r="G218" s="411">
        <f t="shared" si="8"/>
        <v>49.979101358411704</v>
      </c>
      <c r="H218" s="407">
        <v>76452</v>
      </c>
      <c r="I218" s="408">
        <v>76451</v>
      </c>
      <c r="J218" s="404">
        <f t="shared" si="9"/>
        <v>99.998691989745197</v>
      </c>
    </row>
    <row r="219" spans="1:10" ht="26.25" customHeight="1" x14ac:dyDescent="0.2">
      <c r="A219" s="494">
        <v>6.18</v>
      </c>
      <c r="B219" s="47" t="s">
        <v>392</v>
      </c>
      <c r="C219" s="165" t="s">
        <v>40</v>
      </c>
      <c r="D219" s="165" t="s">
        <v>47</v>
      </c>
      <c r="E219" s="909">
        <v>17345</v>
      </c>
      <c r="F219" s="909">
        <v>3337</v>
      </c>
      <c r="G219" s="411">
        <f t="shared" si="8"/>
        <v>19.238973767656386</v>
      </c>
      <c r="H219" s="407">
        <v>1016586</v>
      </c>
      <c r="I219" s="408">
        <v>1000399</v>
      </c>
      <c r="J219" s="404">
        <f t="shared" si="9"/>
        <v>98.407709726476654</v>
      </c>
    </row>
    <row r="220" spans="1:10" ht="24.75" customHeight="1" x14ac:dyDescent="0.2">
      <c r="A220" s="492">
        <v>6.19</v>
      </c>
      <c r="B220" s="47" t="s">
        <v>393</v>
      </c>
      <c r="C220" s="165" t="s">
        <v>40</v>
      </c>
      <c r="D220" s="165" t="s">
        <v>47</v>
      </c>
      <c r="E220" s="909">
        <v>272</v>
      </c>
      <c r="F220" s="909">
        <v>271</v>
      </c>
      <c r="G220" s="411">
        <f t="shared" si="8"/>
        <v>99.632352941176464</v>
      </c>
      <c r="H220" s="407">
        <v>284880</v>
      </c>
      <c r="I220" s="408">
        <v>271703</v>
      </c>
      <c r="J220" s="404">
        <f t="shared" si="9"/>
        <v>95.37454366750913</v>
      </c>
    </row>
    <row r="221" spans="1:10" ht="24.75" customHeight="1" x14ac:dyDescent="0.2">
      <c r="A221" s="494">
        <v>6.2</v>
      </c>
      <c r="B221" s="47" t="s">
        <v>1978</v>
      </c>
      <c r="C221" s="165" t="s">
        <v>40</v>
      </c>
      <c r="D221" s="165" t="s">
        <v>47</v>
      </c>
      <c r="E221" s="909">
        <v>6837</v>
      </c>
      <c r="F221" s="909">
        <v>6834</v>
      </c>
      <c r="G221" s="411">
        <f t="shared" si="8"/>
        <v>99.956121105748139</v>
      </c>
      <c r="H221" s="407">
        <v>447108</v>
      </c>
      <c r="I221" s="408">
        <v>437844</v>
      </c>
      <c r="J221" s="404">
        <f t="shared" si="9"/>
        <v>97.928017391771121</v>
      </c>
    </row>
    <row r="222" spans="1:10" ht="24.75" customHeight="1" x14ac:dyDescent="0.2">
      <c r="A222" s="492">
        <v>6.21</v>
      </c>
      <c r="B222" s="23" t="s">
        <v>394</v>
      </c>
      <c r="C222" s="165" t="s">
        <v>40</v>
      </c>
      <c r="D222" s="165" t="s">
        <v>47</v>
      </c>
      <c r="E222" s="909">
        <v>34296</v>
      </c>
      <c r="F222" s="909">
        <v>12173</v>
      </c>
      <c r="G222" s="411">
        <f t="shared" si="8"/>
        <v>35.4939351527875</v>
      </c>
      <c r="H222" s="407">
        <v>146862</v>
      </c>
      <c r="I222" s="408">
        <v>116584</v>
      </c>
      <c r="J222" s="404">
        <f t="shared" si="9"/>
        <v>79.383366697988592</v>
      </c>
    </row>
    <row r="223" spans="1:10" ht="39" customHeight="1" x14ac:dyDescent="0.2">
      <c r="A223" s="494">
        <v>6.22</v>
      </c>
      <c r="B223" s="50" t="s">
        <v>2030</v>
      </c>
      <c r="C223" s="165" t="s">
        <v>40</v>
      </c>
      <c r="D223" s="167" t="s">
        <v>85</v>
      </c>
      <c r="E223" s="909">
        <v>23885</v>
      </c>
      <c r="F223" s="909">
        <v>11574</v>
      </c>
      <c r="G223" s="411">
        <f t="shared" si="8"/>
        <v>48.457190705463681</v>
      </c>
      <c r="H223" s="407">
        <v>14528</v>
      </c>
      <c r="I223" s="408">
        <v>13376</v>
      </c>
      <c r="J223" s="404">
        <f t="shared" si="9"/>
        <v>92.070484581497809</v>
      </c>
    </row>
    <row r="224" spans="1:10" ht="39" customHeight="1" x14ac:dyDescent="0.2">
      <c r="A224" s="492">
        <v>6.23</v>
      </c>
      <c r="B224" s="50" t="s">
        <v>395</v>
      </c>
      <c r="C224" s="165" t="s">
        <v>40</v>
      </c>
      <c r="D224" s="165" t="s">
        <v>72</v>
      </c>
      <c r="E224" s="909">
        <v>14249</v>
      </c>
      <c r="F224" s="909">
        <v>3649</v>
      </c>
      <c r="G224" s="411">
        <f t="shared" si="8"/>
        <v>25.608814653659906</v>
      </c>
      <c r="H224" s="407">
        <v>169025</v>
      </c>
      <c r="I224" s="408">
        <v>167899</v>
      </c>
      <c r="J224" s="404">
        <f t="shared" si="9"/>
        <v>99.333826357047769</v>
      </c>
    </row>
    <row r="225" spans="1:10" ht="30" customHeight="1" x14ac:dyDescent="0.2">
      <c r="A225" s="492">
        <v>6.24</v>
      </c>
      <c r="B225" s="50" t="s">
        <v>1979</v>
      </c>
      <c r="C225" s="165" t="s">
        <v>40</v>
      </c>
      <c r="D225" s="165" t="s">
        <v>72</v>
      </c>
      <c r="E225" s="909">
        <v>4228</v>
      </c>
      <c r="F225" s="909">
        <v>4228</v>
      </c>
      <c r="G225" s="411">
        <f t="shared" si="8"/>
        <v>100</v>
      </c>
      <c r="H225" s="407">
        <v>24717</v>
      </c>
      <c r="I225" s="408">
        <v>24717</v>
      </c>
      <c r="J225" s="404">
        <f t="shared" si="9"/>
        <v>100</v>
      </c>
    </row>
    <row r="226" spans="1:10" ht="39.75" customHeight="1" x14ac:dyDescent="0.2">
      <c r="A226" s="494">
        <v>6.25</v>
      </c>
      <c r="B226" s="50" t="s">
        <v>1967</v>
      </c>
      <c r="C226" s="165" t="s">
        <v>40</v>
      </c>
      <c r="D226" s="165" t="s">
        <v>396</v>
      </c>
      <c r="E226" s="909">
        <v>8382</v>
      </c>
      <c r="F226" s="909">
        <v>4209</v>
      </c>
      <c r="G226" s="411">
        <f t="shared" si="8"/>
        <v>50.214745884037221</v>
      </c>
      <c r="H226" s="407">
        <v>26908</v>
      </c>
      <c r="I226" s="408">
        <v>26259</v>
      </c>
      <c r="J226" s="404">
        <f t="shared" si="9"/>
        <v>97.588077895049793</v>
      </c>
    </row>
    <row r="227" spans="1:10" ht="25.5" customHeight="1" x14ac:dyDescent="0.2">
      <c r="A227" s="439">
        <v>7</v>
      </c>
      <c r="B227" s="865" t="s">
        <v>397</v>
      </c>
      <c r="C227" s="451"/>
      <c r="D227" s="442"/>
      <c r="E227" s="776"/>
      <c r="F227" s="776"/>
      <c r="G227" s="443"/>
      <c r="H227" s="489">
        <f>SUM(H228:H242)</f>
        <v>4005835</v>
      </c>
      <c r="I227" s="490">
        <f>SUM(I228:I242)</f>
        <v>3899379</v>
      </c>
      <c r="J227" s="445">
        <f t="shared" si="9"/>
        <v>97.342476662169062</v>
      </c>
    </row>
    <row r="228" spans="1:10" ht="30" customHeight="1" x14ac:dyDescent="0.2">
      <c r="A228" s="492">
        <v>7.1</v>
      </c>
      <c r="B228" s="29" t="s">
        <v>1980</v>
      </c>
      <c r="C228" s="165" t="s">
        <v>40</v>
      </c>
      <c r="D228" s="167" t="s">
        <v>262</v>
      </c>
      <c r="E228" s="909">
        <v>10</v>
      </c>
      <c r="F228" s="909">
        <v>10</v>
      </c>
      <c r="G228" s="411">
        <f t="shared" si="8"/>
        <v>100</v>
      </c>
      <c r="H228" s="407">
        <v>94268</v>
      </c>
      <c r="I228" s="408">
        <v>90896</v>
      </c>
      <c r="J228" s="404">
        <f t="shared" si="9"/>
        <v>96.422964314507581</v>
      </c>
    </row>
    <row r="229" spans="1:10" ht="30" customHeight="1" x14ac:dyDescent="0.2">
      <c r="A229" s="492">
        <v>7.2</v>
      </c>
      <c r="B229" s="29" t="s">
        <v>1981</v>
      </c>
      <c r="C229" s="165" t="s">
        <v>40</v>
      </c>
      <c r="D229" s="167" t="s">
        <v>262</v>
      </c>
      <c r="E229" s="909">
        <v>379</v>
      </c>
      <c r="F229" s="909">
        <v>378</v>
      </c>
      <c r="G229" s="411">
        <f t="shared" si="8"/>
        <v>99.736147757255935</v>
      </c>
      <c r="H229" s="407">
        <v>209171</v>
      </c>
      <c r="I229" s="408">
        <v>207484</v>
      </c>
      <c r="J229" s="404">
        <f t="shared" ref="J229:J255" si="10">+I229/H229*100</f>
        <v>99.193482844180124</v>
      </c>
    </row>
    <row r="230" spans="1:10" ht="23.25" customHeight="1" x14ac:dyDescent="0.2">
      <c r="A230" s="492">
        <v>7.3</v>
      </c>
      <c r="B230" s="47" t="s">
        <v>1982</v>
      </c>
      <c r="C230" s="165" t="s">
        <v>40</v>
      </c>
      <c r="D230" s="167" t="s">
        <v>47</v>
      </c>
      <c r="E230" s="909">
        <v>400</v>
      </c>
      <c r="F230" s="909">
        <v>200</v>
      </c>
      <c r="G230" s="411">
        <f t="shared" ref="G230:G253" si="11">(F230*100)/E230</f>
        <v>50</v>
      </c>
      <c r="H230" s="407">
        <v>172804</v>
      </c>
      <c r="I230" s="408">
        <v>167963</v>
      </c>
      <c r="J230" s="404">
        <f t="shared" si="10"/>
        <v>97.198560218513464</v>
      </c>
    </row>
    <row r="231" spans="1:10" ht="30" customHeight="1" x14ac:dyDescent="0.2">
      <c r="A231" s="492">
        <v>7.4</v>
      </c>
      <c r="B231" s="47" t="s">
        <v>1983</v>
      </c>
      <c r="C231" s="165" t="s">
        <v>40</v>
      </c>
      <c r="D231" s="167" t="s">
        <v>399</v>
      </c>
      <c r="E231" s="909">
        <v>6</v>
      </c>
      <c r="F231" s="909">
        <v>6</v>
      </c>
      <c r="G231" s="411">
        <f t="shared" si="11"/>
        <v>100</v>
      </c>
      <c r="H231" s="407">
        <v>316076</v>
      </c>
      <c r="I231" s="408">
        <v>316075</v>
      </c>
      <c r="J231" s="404">
        <f t="shared" si="10"/>
        <v>99.999683620395103</v>
      </c>
    </row>
    <row r="232" spans="1:10" ht="30" customHeight="1" x14ac:dyDescent="0.2">
      <c r="A232" s="492">
        <v>7.5</v>
      </c>
      <c r="B232" s="47" t="s">
        <v>400</v>
      </c>
      <c r="C232" s="165" t="s">
        <v>40</v>
      </c>
      <c r="D232" s="167" t="s">
        <v>398</v>
      </c>
      <c r="E232" s="909">
        <v>12</v>
      </c>
      <c r="F232" s="909">
        <v>12</v>
      </c>
      <c r="G232" s="411">
        <f t="shared" si="11"/>
        <v>100</v>
      </c>
      <c r="H232" s="407">
        <v>150286</v>
      </c>
      <c r="I232" s="408">
        <v>150254</v>
      </c>
      <c r="J232" s="404">
        <f t="shared" si="10"/>
        <v>99.978707264815085</v>
      </c>
    </row>
    <row r="233" spans="1:10" ht="22.5" customHeight="1" x14ac:dyDescent="0.2">
      <c r="A233" s="492">
        <v>7.6</v>
      </c>
      <c r="B233" s="47" t="s">
        <v>402</v>
      </c>
      <c r="C233" s="165" t="s">
        <v>40</v>
      </c>
      <c r="D233" s="167" t="s">
        <v>289</v>
      </c>
      <c r="E233" s="909">
        <v>1066</v>
      </c>
      <c r="F233" s="909">
        <v>800</v>
      </c>
      <c r="G233" s="411">
        <f t="shared" si="11"/>
        <v>75.046904315196997</v>
      </c>
      <c r="H233" s="407">
        <v>463773</v>
      </c>
      <c r="I233" s="408">
        <v>450657</v>
      </c>
      <c r="J233" s="404">
        <f t="shared" si="10"/>
        <v>97.171892283509393</v>
      </c>
    </row>
    <row r="234" spans="1:10" ht="25.5" customHeight="1" x14ac:dyDescent="0.2">
      <c r="A234" s="492">
        <v>7.7</v>
      </c>
      <c r="B234" s="47" t="s">
        <v>403</v>
      </c>
      <c r="C234" s="165" t="s">
        <v>40</v>
      </c>
      <c r="D234" s="167" t="s">
        <v>404</v>
      </c>
      <c r="E234" s="909">
        <v>6</v>
      </c>
      <c r="F234" s="909">
        <v>5</v>
      </c>
      <c r="G234" s="411">
        <f t="shared" si="11"/>
        <v>83.333333333333329</v>
      </c>
      <c r="H234" s="407">
        <v>107239</v>
      </c>
      <c r="I234" s="408">
        <v>92029</v>
      </c>
      <c r="J234" s="404">
        <f t="shared" si="10"/>
        <v>85.816727123527826</v>
      </c>
    </row>
    <row r="235" spans="1:10" ht="23.25" customHeight="1" x14ac:dyDescent="0.2">
      <c r="A235" s="492">
        <v>7.8</v>
      </c>
      <c r="B235" s="47" t="s">
        <v>1984</v>
      </c>
      <c r="C235" s="165" t="s">
        <v>40</v>
      </c>
      <c r="D235" s="167" t="s">
        <v>401</v>
      </c>
      <c r="E235" s="909">
        <v>15</v>
      </c>
      <c r="F235" s="909">
        <v>15</v>
      </c>
      <c r="G235" s="411">
        <f t="shared" si="11"/>
        <v>100</v>
      </c>
      <c r="H235" s="407">
        <v>118010</v>
      </c>
      <c r="I235" s="408">
        <v>117759</v>
      </c>
      <c r="J235" s="404">
        <f t="shared" si="10"/>
        <v>99.787306160494865</v>
      </c>
    </row>
    <row r="236" spans="1:10" ht="27" customHeight="1" x14ac:dyDescent="0.2">
      <c r="A236" s="492">
        <v>7.9</v>
      </c>
      <c r="B236" s="47" t="s">
        <v>405</v>
      </c>
      <c r="C236" s="165" t="s">
        <v>40</v>
      </c>
      <c r="D236" s="167" t="s">
        <v>406</v>
      </c>
      <c r="E236" s="909">
        <v>1</v>
      </c>
      <c r="F236" s="909">
        <v>1</v>
      </c>
      <c r="G236" s="411">
        <f t="shared" si="11"/>
        <v>100</v>
      </c>
      <c r="H236" s="407">
        <v>443558</v>
      </c>
      <c r="I236" s="408">
        <v>428897</v>
      </c>
      <c r="J236" s="404">
        <f t="shared" si="10"/>
        <v>96.694682544334682</v>
      </c>
    </row>
    <row r="237" spans="1:10" ht="27" customHeight="1" x14ac:dyDescent="0.2">
      <c r="A237" s="493" t="s">
        <v>1965</v>
      </c>
      <c r="B237" s="47" t="s">
        <v>407</v>
      </c>
      <c r="C237" s="165" t="s">
        <v>40</v>
      </c>
      <c r="D237" s="167" t="s">
        <v>406</v>
      </c>
      <c r="E237" s="909">
        <v>1</v>
      </c>
      <c r="F237" s="909">
        <v>1</v>
      </c>
      <c r="G237" s="411">
        <f t="shared" si="11"/>
        <v>100</v>
      </c>
      <c r="H237" s="407">
        <v>532287</v>
      </c>
      <c r="I237" s="408">
        <v>500831</v>
      </c>
      <c r="J237" s="404">
        <f t="shared" si="10"/>
        <v>94.090406115497842</v>
      </c>
    </row>
    <row r="238" spans="1:10" ht="24.75" customHeight="1" x14ac:dyDescent="0.2">
      <c r="A238" s="494">
        <v>7.11</v>
      </c>
      <c r="B238" s="47" t="s">
        <v>408</v>
      </c>
      <c r="C238" s="165" t="s">
        <v>40</v>
      </c>
      <c r="D238" s="167" t="s">
        <v>409</v>
      </c>
      <c r="E238" s="909">
        <v>1</v>
      </c>
      <c r="F238" s="909">
        <v>1</v>
      </c>
      <c r="G238" s="411">
        <f t="shared" si="11"/>
        <v>100</v>
      </c>
      <c r="H238" s="407">
        <v>206328</v>
      </c>
      <c r="I238" s="408">
        <v>205821</v>
      </c>
      <c r="J238" s="404">
        <f t="shared" si="10"/>
        <v>99.754274747004771</v>
      </c>
    </row>
    <row r="239" spans="1:10" ht="40.5" customHeight="1" x14ac:dyDescent="0.2">
      <c r="A239" s="492">
        <v>7.12</v>
      </c>
      <c r="B239" s="47" t="s">
        <v>410</v>
      </c>
      <c r="C239" s="165" t="s">
        <v>40</v>
      </c>
      <c r="D239" s="167" t="s">
        <v>411</v>
      </c>
      <c r="E239" s="909">
        <v>12</v>
      </c>
      <c r="F239" s="909">
        <v>12</v>
      </c>
      <c r="G239" s="411">
        <f t="shared" si="11"/>
        <v>100</v>
      </c>
      <c r="H239" s="407">
        <v>430797</v>
      </c>
      <c r="I239" s="408">
        <v>430512</v>
      </c>
      <c r="J239" s="404">
        <f t="shared" si="10"/>
        <v>99.933843550442546</v>
      </c>
    </row>
    <row r="240" spans="1:10" ht="27.75" customHeight="1" x14ac:dyDescent="0.2">
      <c r="A240" s="494">
        <v>7.13</v>
      </c>
      <c r="B240" s="47" t="s">
        <v>412</v>
      </c>
      <c r="C240" s="165" t="s">
        <v>40</v>
      </c>
      <c r="D240" s="167" t="s">
        <v>413</v>
      </c>
      <c r="E240" s="909">
        <v>2221</v>
      </c>
      <c r="F240" s="909">
        <v>2221</v>
      </c>
      <c r="G240" s="411">
        <f t="shared" si="11"/>
        <v>100</v>
      </c>
      <c r="H240" s="407">
        <v>688913</v>
      </c>
      <c r="I240" s="408">
        <v>668030</v>
      </c>
      <c r="J240" s="404">
        <f t="shared" si="10"/>
        <v>96.968702869593116</v>
      </c>
    </row>
    <row r="241" spans="1:10" ht="25.5" customHeight="1" x14ac:dyDescent="0.2">
      <c r="A241" s="492">
        <v>7.14</v>
      </c>
      <c r="B241" s="47" t="s">
        <v>1985</v>
      </c>
      <c r="C241" s="165" t="s">
        <v>40</v>
      </c>
      <c r="D241" s="167" t="s">
        <v>399</v>
      </c>
      <c r="E241" s="909">
        <v>2</v>
      </c>
      <c r="F241" s="909">
        <v>2</v>
      </c>
      <c r="G241" s="411">
        <f t="shared" si="11"/>
        <v>100</v>
      </c>
      <c r="H241" s="407">
        <v>72325</v>
      </c>
      <c r="I241" s="408">
        <v>72171</v>
      </c>
      <c r="J241" s="404">
        <f t="shared" si="10"/>
        <v>99.787072243346003</v>
      </c>
    </row>
    <row r="242" spans="1:10" ht="27.75" customHeight="1" x14ac:dyDescent="0.2">
      <c r="A242" s="494">
        <v>7.15</v>
      </c>
      <c r="B242" s="47" t="s">
        <v>400</v>
      </c>
      <c r="C242" s="165" t="s">
        <v>40</v>
      </c>
      <c r="D242" s="165" t="s">
        <v>398</v>
      </c>
      <c r="E242" s="909">
        <v>4</v>
      </c>
      <c r="F242" s="909">
        <v>0</v>
      </c>
      <c r="G242" s="411">
        <f t="shared" si="11"/>
        <v>0</v>
      </c>
      <c r="H242" s="407"/>
      <c r="I242" s="408"/>
      <c r="J242" s="404"/>
    </row>
    <row r="243" spans="1:10" ht="24" customHeight="1" x14ac:dyDescent="0.2">
      <c r="A243" s="439">
        <v>8</v>
      </c>
      <c r="B243" s="439" t="s">
        <v>1968</v>
      </c>
      <c r="C243" s="451"/>
      <c r="D243" s="442"/>
      <c r="E243" s="776"/>
      <c r="F243" s="776"/>
      <c r="G243" s="443"/>
      <c r="H243" s="489">
        <f>SUM(H244)</f>
        <v>108586</v>
      </c>
      <c r="I243" s="490">
        <f>SUM(I244)</f>
        <v>108582</v>
      </c>
      <c r="J243" s="445">
        <f t="shared" si="10"/>
        <v>99.996316283867174</v>
      </c>
    </row>
    <row r="244" spans="1:10" ht="22.5" customHeight="1" x14ac:dyDescent="0.2">
      <c r="A244" s="452">
        <v>8.1</v>
      </c>
      <c r="B244" s="453" t="s">
        <v>1986</v>
      </c>
      <c r="C244" s="441" t="s">
        <v>40</v>
      </c>
      <c r="D244" s="441" t="s">
        <v>52</v>
      </c>
      <c r="E244" s="776">
        <v>12</v>
      </c>
      <c r="F244" s="776">
        <v>12</v>
      </c>
      <c r="G244" s="443">
        <f t="shared" si="11"/>
        <v>100</v>
      </c>
      <c r="H244" s="454">
        <v>108586</v>
      </c>
      <c r="I244" s="455">
        <v>108582</v>
      </c>
      <c r="J244" s="460">
        <f t="shared" si="10"/>
        <v>99.996316283867174</v>
      </c>
    </row>
    <row r="245" spans="1:10" ht="23.25" customHeight="1" x14ac:dyDescent="0.2">
      <c r="A245" s="439">
        <v>9</v>
      </c>
      <c r="B245" s="439" t="s">
        <v>1987</v>
      </c>
      <c r="C245" s="451"/>
      <c r="D245" s="442"/>
      <c r="E245" s="776"/>
      <c r="F245" s="776"/>
      <c r="G245" s="443"/>
      <c r="H245" s="489">
        <f>SUM(H246:H246)</f>
        <v>339501</v>
      </c>
      <c r="I245" s="490">
        <f>SUM(I246:I246)</f>
        <v>332372</v>
      </c>
      <c r="J245" s="445">
        <f t="shared" si="10"/>
        <v>97.900153460520002</v>
      </c>
    </row>
    <row r="246" spans="1:10" ht="19.5" customHeight="1" x14ac:dyDescent="0.2">
      <c r="A246" s="452">
        <v>9.1</v>
      </c>
      <c r="B246" s="453" t="s">
        <v>1990</v>
      </c>
      <c r="C246" s="441" t="s">
        <v>40</v>
      </c>
      <c r="D246" s="441" t="s">
        <v>289</v>
      </c>
      <c r="E246" s="776">
        <v>12</v>
      </c>
      <c r="F246" s="776">
        <v>12</v>
      </c>
      <c r="G246" s="443">
        <f t="shared" si="11"/>
        <v>100</v>
      </c>
      <c r="H246" s="454">
        <v>339501</v>
      </c>
      <c r="I246" s="455">
        <v>332372</v>
      </c>
      <c r="J246" s="460">
        <f t="shared" si="10"/>
        <v>97.900153460520002</v>
      </c>
    </row>
    <row r="247" spans="1:10" ht="17.25" customHeight="1" x14ac:dyDescent="0.2">
      <c r="A247" s="43">
        <v>10</v>
      </c>
      <c r="B247" s="461" t="s">
        <v>1997</v>
      </c>
      <c r="C247" s="183"/>
      <c r="D247" s="164"/>
      <c r="E247" s="845">
        <v>0</v>
      </c>
      <c r="F247" s="845"/>
      <c r="G247" s="277"/>
      <c r="H247" s="462">
        <f>SUM(H248:H253)</f>
        <v>46403224</v>
      </c>
      <c r="I247" s="463">
        <f>SUM(I248:I253)</f>
        <v>45563882</v>
      </c>
      <c r="J247" s="464">
        <f t="shared" si="10"/>
        <v>98.191198956348387</v>
      </c>
    </row>
    <row r="248" spans="1:10" ht="25.5" customHeight="1" x14ac:dyDescent="0.2">
      <c r="A248" s="491">
        <v>10.1</v>
      </c>
      <c r="B248" s="453" t="s">
        <v>561</v>
      </c>
      <c r="C248" s="441" t="s">
        <v>40</v>
      </c>
      <c r="D248" s="164" t="s">
        <v>289</v>
      </c>
      <c r="E248" s="776">
        <v>100000</v>
      </c>
      <c r="F248" s="845">
        <v>90000</v>
      </c>
      <c r="G248" s="443">
        <f t="shared" si="11"/>
        <v>90</v>
      </c>
      <c r="H248" s="454">
        <v>44701573</v>
      </c>
      <c r="I248" s="455">
        <v>43863612</v>
      </c>
      <c r="J248" s="460">
        <f t="shared" si="10"/>
        <v>98.125432856691646</v>
      </c>
    </row>
    <row r="249" spans="1:10" ht="21.75" customHeight="1" x14ac:dyDescent="0.2">
      <c r="A249" s="491">
        <v>10.199999999999999</v>
      </c>
      <c r="B249" s="453" t="s">
        <v>418</v>
      </c>
      <c r="C249" s="441" t="s">
        <v>40</v>
      </c>
      <c r="D249" s="164" t="s">
        <v>220</v>
      </c>
      <c r="E249" s="776">
        <v>4</v>
      </c>
      <c r="F249" s="845">
        <v>4</v>
      </c>
      <c r="G249" s="443">
        <f t="shared" si="11"/>
        <v>100</v>
      </c>
      <c r="H249" s="454">
        <v>420185</v>
      </c>
      <c r="I249" s="455">
        <v>418808</v>
      </c>
      <c r="J249" s="460">
        <f t="shared" si="10"/>
        <v>99.672287206825558</v>
      </c>
    </row>
    <row r="250" spans="1:10" ht="22.5" customHeight="1" x14ac:dyDescent="0.2">
      <c r="A250" s="491">
        <v>10.3</v>
      </c>
      <c r="B250" s="453" t="s">
        <v>419</v>
      </c>
      <c r="C250" s="441" t="s">
        <v>40</v>
      </c>
      <c r="D250" s="164" t="s">
        <v>220</v>
      </c>
      <c r="E250" s="776">
        <v>12</v>
      </c>
      <c r="F250" s="845">
        <v>12</v>
      </c>
      <c r="G250" s="443">
        <f t="shared" si="11"/>
        <v>100</v>
      </c>
      <c r="H250" s="454">
        <v>126340</v>
      </c>
      <c r="I250" s="455">
        <v>126339</v>
      </c>
      <c r="J250" s="460">
        <f t="shared" si="10"/>
        <v>99.99920848504037</v>
      </c>
    </row>
    <row r="251" spans="1:10" ht="18" customHeight="1" x14ac:dyDescent="0.2">
      <c r="A251" s="491">
        <v>10.4</v>
      </c>
      <c r="B251" s="453" t="s">
        <v>1988</v>
      </c>
      <c r="C251" s="441" t="s">
        <v>40</v>
      </c>
      <c r="D251" s="164" t="s">
        <v>1998</v>
      </c>
      <c r="E251" s="776">
        <v>6</v>
      </c>
      <c r="F251" s="845">
        <v>6</v>
      </c>
      <c r="G251" s="443">
        <f t="shared" si="11"/>
        <v>100</v>
      </c>
      <c r="H251" s="454">
        <v>35100</v>
      </c>
      <c r="I251" s="455">
        <v>35098</v>
      </c>
      <c r="J251" s="460">
        <f t="shared" si="10"/>
        <v>99.994301994301992</v>
      </c>
    </row>
    <row r="252" spans="1:10" ht="21" customHeight="1" x14ac:dyDescent="0.2">
      <c r="A252" s="491">
        <v>10.5</v>
      </c>
      <c r="B252" s="456" t="s">
        <v>1989</v>
      </c>
      <c r="C252" s="441" t="s">
        <v>40</v>
      </c>
      <c r="D252" s="164" t="s">
        <v>52</v>
      </c>
      <c r="E252" s="776">
        <v>12</v>
      </c>
      <c r="F252" s="845">
        <v>12</v>
      </c>
      <c r="G252" s="443">
        <f t="shared" si="11"/>
        <v>100</v>
      </c>
      <c r="H252" s="454">
        <v>1093977</v>
      </c>
      <c r="I252" s="455">
        <v>1093977</v>
      </c>
      <c r="J252" s="460">
        <f t="shared" si="10"/>
        <v>100</v>
      </c>
    </row>
    <row r="253" spans="1:10" ht="22.5" customHeight="1" x14ac:dyDescent="0.2">
      <c r="A253" s="491">
        <v>10.6</v>
      </c>
      <c r="B253" s="456" t="s">
        <v>1966</v>
      </c>
      <c r="C253" s="441" t="s">
        <v>40</v>
      </c>
      <c r="D253" s="164" t="s">
        <v>415</v>
      </c>
      <c r="E253" s="776">
        <v>180</v>
      </c>
      <c r="F253" s="845">
        <v>175</v>
      </c>
      <c r="G253" s="443">
        <f t="shared" si="11"/>
        <v>97.222222222222229</v>
      </c>
      <c r="H253" s="454">
        <v>26049</v>
      </c>
      <c r="I253" s="455">
        <v>26048</v>
      </c>
      <c r="J253" s="460">
        <f t="shared" si="10"/>
        <v>99.996161081039574</v>
      </c>
    </row>
    <row r="254" spans="1:10" ht="18" customHeight="1" x14ac:dyDescent="0.2">
      <c r="A254" s="439">
        <v>11</v>
      </c>
      <c r="B254" s="457" t="s">
        <v>1029</v>
      </c>
      <c r="C254" s="458"/>
      <c r="D254" s="372"/>
      <c r="E254" s="911">
        <v>0</v>
      </c>
      <c r="F254" s="24"/>
      <c r="G254" s="459"/>
      <c r="H254" s="449">
        <f>+H255</f>
        <v>60374929</v>
      </c>
      <c r="I254" s="450">
        <f>+I255</f>
        <v>58739834.659999996</v>
      </c>
      <c r="J254" s="445">
        <f t="shared" si="10"/>
        <v>97.291766024271425</v>
      </c>
    </row>
    <row r="255" spans="1:10" ht="25.5" customHeight="1" x14ac:dyDescent="0.2">
      <c r="A255" s="165">
        <v>11.1</v>
      </c>
      <c r="B255" s="47" t="s">
        <v>414</v>
      </c>
      <c r="C255" s="165" t="s">
        <v>40</v>
      </c>
      <c r="D255" s="60" t="s">
        <v>220</v>
      </c>
      <c r="E255" s="909">
        <v>6</v>
      </c>
      <c r="F255" s="22">
        <v>6</v>
      </c>
      <c r="G255" s="411">
        <f>(F255*100)/E255</f>
        <v>100</v>
      </c>
      <c r="H255" s="407">
        <f>46655261+13719668</f>
        <v>60374929</v>
      </c>
      <c r="I255" s="408">
        <f>45390136+13349698.66</f>
        <v>58739834.659999996</v>
      </c>
      <c r="J255" s="404">
        <f t="shared" si="10"/>
        <v>97.291766024271425</v>
      </c>
    </row>
    <row r="256" spans="1:10" ht="18.75" customHeight="1" x14ac:dyDescent="0.2">
      <c r="A256" s="148" t="s">
        <v>1024</v>
      </c>
      <c r="C256" s="353"/>
      <c r="D256" s="160"/>
      <c r="E256" s="912"/>
      <c r="F256" s="912"/>
      <c r="G256" s="301"/>
      <c r="H256" s="133">
        <f>SUM(H257:H258)</f>
        <v>41733</v>
      </c>
      <c r="I256" s="282">
        <f>SUM(I257:I258)</f>
        <v>37120.65</v>
      </c>
      <c r="J256" s="320">
        <f t="shared" ref="J256:J267" si="12">+I256/H256*100</f>
        <v>88.947954855869455</v>
      </c>
    </row>
    <row r="257" spans="1:10" ht="27" customHeight="1" x14ac:dyDescent="0.2">
      <c r="A257" s="685">
        <v>1</v>
      </c>
      <c r="B257" s="669" t="s">
        <v>420</v>
      </c>
      <c r="C257" s="686" t="s">
        <v>168</v>
      </c>
      <c r="D257" s="802" t="s">
        <v>450</v>
      </c>
      <c r="E257" s="845">
        <v>1</v>
      </c>
      <c r="F257" s="38">
        <v>1</v>
      </c>
      <c r="G257" s="847">
        <f>+F257/E257*100</f>
        <v>100</v>
      </c>
      <c r="H257" s="845">
        <v>30599</v>
      </c>
      <c r="I257" s="847">
        <v>28473.65</v>
      </c>
      <c r="J257" s="847">
        <f t="shared" si="12"/>
        <v>93.054184777280312</v>
      </c>
    </row>
    <row r="258" spans="1:10" ht="28.5" customHeight="1" x14ac:dyDescent="0.2">
      <c r="A258" s="685">
        <v>2</v>
      </c>
      <c r="B258" s="669" t="s">
        <v>421</v>
      </c>
      <c r="C258" s="686" t="s">
        <v>168</v>
      </c>
      <c r="D258" s="802" t="s">
        <v>1284</v>
      </c>
      <c r="E258" s="845">
        <v>1</v>
      </c>
      <c r="F258" s="38">
        <v>1</v>
      </c>
      <c r="G258" s="847">
        <f>+F258/E258*100</f>
        <v>100</v>
      </c>
      <c r="H258" s="823">
        <v>11134</v>
      </c>
      <c r="I258" s="824">
        <v>8647</v>
      </c>
      <c r="J258" s="824">
        <f t="shared" si="12"/>
        <v>77.663014190767015</v>
      </c>
    </row>
    <row r="259" spans="1:10" s="132" customFormat="1" ht="28.5" customHeight="1" x14ac:dyDescent="0.2">
      <c r="A259" s="1009" t="s">
        <v>2001</v>
      </c>
      <c r="B259" s="1010"/>
      <c r="C259" s="161"/>
      <c r="D259" s="161"/>
      <c r="E259" s="124"/>
      <c r="F259" s="124"/>
      <c r="G259" s="83"/>
      <c r="H259" s="325">
        <f>+H260</f>
        <v>90000</v>
      </c>
      <c r="I259" s="320">
        <f>+I260</f>
        <v>72795.199999999997</v>
      </c>
      <c r="J259" s="320">
        <f t="shared" si="12"/>
        <v>80.883555555555546</v>
      </c>
    </row>
    <row r="260" spans="1:10" s="127" customFormat="1" ht="22.5" customHeight="1" x14ac:dyDescent="0.25">
      <c r="A260" s="685">
        <v>1</v>
      </c>
      <c r="B260" s="811" t="s">
        <v>1051</v>
      </c>
      <c r="C260" s="686" t="s">
        <v>1046</v>
      </c>
      <c r="D260" s="686" t="s">
        <v>192</v>
      </c>
      <c r="E260" s="63">
        <v>1</v>
      </c>
      <c r="F260" s="845">
        <v>0.8</v>
      </c>
      <c r="G260" s="847">
        <f>+F260/E260*100</f>
        <v>80</v>
      </c>
      <c r="H260" s="845">
        <v>90000</v>
      </c>
      <c r="I260" s="847">
        <v>72795.199999999997</v>
      </c>
      <c r="J260" s="847">
        <f t="shared" si="12"/>
        <v>80.883555555555546</v>
      </c>
    </row>
    <row r="261" spans="1:10" s="127" customFormat="1" ht="18" customHeight="1" x14ac:dyDescent="0.25">
      <c r="A261" s="1009" t="s">
        <v>1677</v>
      </c>
      <c r="B261" s="1010"/>
      <c r="C261" s="613"/>
      <c r="D261" s="613"/>
      <c r="E261" s="878"/>
      <c r="F261" s="837"/>
      <c r="G261" s="835"/>
      <c r="H261" s="713">
        <f>SUM(H262:H263)</f>
        <v>590000</v>
      </c>
      <c r="I261" s="714">
        <f>SUM(I262:I263)</f>
        <v>589900</v>
      </c>
      <c r="J261" s="320">
        <f t="shared" si="12"/>
        <v>99.983050847457619</v>
      </c>
    </row>
    <row r="262" spans="1:10" s="127" customFormat="1" ht="52.5" customHeight="1" x14ac:dyDescent="0.25">
      <c r="A262" s="685">
        <v>1</v>
      </c>
      <c r="B262" s="669" t="s">
        <v>1485</v>
      </c>
      <c r="C262" s="686" t="s">
        <v>168</v>
      </c>
      <c r="D262" s="686" t="s">
        <v>1487</v>
      </c>
      <c r="E262" s="63">
        <v>1</v>
      </c>
      <c r="F262" s="845">
        <v>1</v>
      </c>
      <c r="G262" s="847">
        <f>+F262/E262*100</f>
        <v>100</v>
      </c>
      <c r="H262" s="845">
        <v>295000</v>
      </c>
      <c r="I262" s="847">
        <v>294950</v>
      </c>
      <c r="J262" s="847">
        <f t="shared" si="12"/>
        <v>99.983050847457619</v>
      </c>
    </row>
    <row r="263" spans="1:10" s="127" customFormat="1" ht="54.75" customHeight="1" x14ac:dyDescent="0.25">
      <c r="A263" s="685">
        <v>2</v>
      </c>
      <c r="B263" s="608" t="s">
        <v>1486</v>
      </c>
      <c r="C263" s="686" t="s">
        <v>168</v>
      </c>
      <c r="D263" s="686" t="s">
        <v>1487</v>
      </c>
      <c r="E263" s="63">
        <v>1</v>
      </c>
      <c r="F263" s="845">
        <v>1</v>
      </c>
      <c r="G263" s="847">
        <f>+F263/E263*100</f>
        <v>100</v>
      </c>
      <c r="H263" s="845">
        <v>295000</v>
      </c>
      <c r="I263" s="847">
        <v>294950</v>
      </c>
      <c r="J263" s="847">
        <f t="shared" si="12"/>
        <v>99.983050847457619</v>
      </c>
    </row>
    <row r="264" spans="1:10" s="127" customFormat="1" ht="20.25" customHeight="1" x14ac:dyDescent="0.25">
      <c r="A264" s="985" t="s">
        <v>1678</v>
      </c>
      <c r="B264" s="985"/>
      <c r="C264" s="686"/>
      <c r="D264" s="686"/>
      <c r="E264" s="63"/>
      <c r="F264" s="845"/>
      <c r="G264" s="847"/>
      <c r="H264" s="325">
        <f>SUM(H265:H266)</f>
        <v>510773</v>
      </c>
      <c r="I264" s="320">
        <f>SUM(I265:I266)</f>
        <v>497742.59</v>
      </c>
      <c r="J264" s="320">
        <f t="shared" si="12"/>
        <v>97.448884338052338</v>
      </c>
    </row>
    <row r="265" spans="1:10" s="127" customFormat="1" ht="42" customHeight="1" x14ac:dyDescent="0.25">
      <c r="A265" s="826">
        <v>1</v>
      </c>
      <c r="B265" s="846" t="s">
        <v>1488</v>
      </c>
      <c r="C265" s="296" t="s">
        <v>189</v>
      </c>
      <c r="D265" s="296" t="s">
        <v>1487</v>
      </c>
      <c r="E265" s="63">
        <v>1</v>
      </c>
      <c r="F265" s="839">
        <v>1</v>
      </c>
      <c r="G265" s="836">
        <f>+F265/E265*100</f>
        <v>100</v>
      </c>
      <c r="H265" s="838">
        <v>270000</v>
      </c>
      <c r="I265" s="840">
        <v>269500</v>
      </c>
      <c r="J265" s="847">
        <f t="shared" si="12"/>
        <v>99.81481481481481</v>
      </c>
    </row>
    <row r="266" spans="1:10" s="127" customFormat="1" ht="45" customHeight="1" x14ac:dyDescent="0.25">
      <c r="A266" s="825">
        <v>2</v>
      </c>
      <c r="B266" s="701" t="s">
        <v>1586</v>
      </c>
      <c r="C266" s="686" t="s">
        <v>1055</v>
      </c>
      <c r="D266" s="296" t="s">
        <v>1487</v>
      </c>
      <c r="E266" s="63">
        <v>1</v>
      </c>
      <c r="F266" s="845">
        <v>1</v>
      </c>
      <c r="G266" s="836">
        <f>+F266/E266*100</f>
        <v>100</v>
      </c>
      <c r="H266" s="845">
        <v>240773</v>
      </c>
      <c r="I266" s="847">
        <v>228242.59000000003</v>
      </c>
      <c r="J266" s="847">
        <f t="shared" si="12"/>
        <v>94.795757829989256</v>
      </c>
    </row>
    <row r="267" spans="1:10" s="132" customFormat="1" ht="18.75" customHeight="1" x14ac:dyDescent="0.2">
      <c r="A267" s="340" t="s">
        <v>1189</v>
      </c>
      <c r="B267" s="848"/>
      <c r="C267" s="161"/>
      <c r="D267" s="161"/>
      <c r="E267" s="488"/>
      <c r="F267" s="124"/>
      <c r="G267" s="83"/>
      <c r="H267" s="325">
        <f>SUM(H268:H269)</f>
        <v>55198712</v>
      </c>
      <c r="I267" s="320">
        <f>SUM(I268:I269)</f>
        <v>31435517.049999997</v>
      </c>
      <c r="J267" s="320">
        <f t="shared" si="12"/>
        <v>56.949729279915076</v>
      </c>
    </row>
    <row r="268" spans="1:10" s="145" customFormat="1" ht="30" customHeight="1" x14ac:dyDescent="0.2">
      <c r="A268" s="718">
        <v>1</v>
      </c>
      <c r="B268" s="608" t="s">
        <v>1480</v>
      </c>
      <c r="C268" s="686" t="s">
        <v>628</v>
      </c>
      <c r="D268" s="686" t="s">
        <v>1273</v>
      </c>
      <c r="E268" s="63">
        <v>1</v>
      </c>
      <c r="F268" s="845">
        <v>0.69320000000000004</v>
      </c>
      <c r="G268" s="847">
        <f>+F268/E268*100</f>
        <v>69.320000000000007</v>
      </c>
      <c r="H268" s="845">
        <f>11695972+6139663</f>
        <v>17835635</v>
      </c>
      <c r="I268" s="847">
        <f>5950491.58+11683626.5</f>
        <v>17634118.079999998</v>
      </c>
      <c r="J268" s="847">
        <f>+I268/H268*100</f>
        <v>98.87014440472683</v>
      </c>
    </row>
    <row r="269" spans="1:10" s="145" customFormat="1" ht="18.75" customHeight="1" x14ac:dyDescent="0.2">
      <c r="A269" s="718">
        <v>2</v>
      </c>
      <c r="B269" s="669" t="s">
        <v>1570</v>
      </c>
      <c r="C269" s="686" t="s">
        <v>189</v>
      </c>
      <c r="D269" s="686" t="s">
        <v>1273</v>
      </c>
      <c r="E269" s="63">
        <v>1</v>
      </c>
      <c r="F269" s="845">
        <v>0.39410000000000001</v>
      </c>
      <c r="G269" s="847">
        <f>+F269/E269*100</f>
        <v>39.410000000000004</v>
      </c>
      <c r="H269" s="845">
        <f>37287577+75500</f>
        <v>37363077</v>
      </c>
      <c r="I269" s="847">
        <f>73707.79+13727691.18</f>
        <v>13801398.969999999</v>
      </c>
      <c r="J269" s="847">
        <f>+I269/H269*100</f>
        <v>36.938603771846736</v>
      </c>
    </row>
    <row r="270" spans="1:10" ht="18.75" customHeight="1" x14ac:dyDescent="0.2">
      <c r="A270" s="682"/>
      <c r="B270" s="53" t="s">
        <v>1248</v>
      </c>
      <c r="C270" s="161"/>
      <c r="D270" s="849"/>
      <c r="E270" s="488"/>
      <c r="F270" s="124"/>
      <c r="G270" s="83"/>
      <c r="H270" s="827">
        <f>+H271</f>
        <v>616998</v>
      </c>
      <c r="I270" s="828">
        <f>+I271</f>
        <v>367487.88</v>
      </c>
      <c r="J270" s="828">
        <f>+I270/H270%</f>
        <v>59.560627425048388</v>
      </c>
    </row>
    <row r="271" spans="1:10" ht="24" customHeight="1" x14ac:dyDescent="0.2">
      <c r="A271" s="685">
        <v>1</v>
      </c>
      <c r="B271" s="608" t="s">
        <v>1413</v>
      </c>
      <c r="C271" s="802" t="s">
        <v>1055</v>
      </c>
      <c r="D271" s="688" t="s">
        <v>64</v>
      </c>
      <c r="E271" s="63">
        <v>1</v>
      </c>
      <c r="F271" s="845">
        <v>0.5</v>
      </c>
      <c r="G271" s="847">
        <f>+F271/E271*100</f>
        <v>50</v>
      </c>
      <c r="H271" s="845">
        <v>616998</v>
      </c>
      <c r="I271" s="847">
        <v>367487.88</v>
      </c>
      <c r="J271" s="847">
        <f>+I271/H271*100</f>
        <v>59.560627425048388</v>
      </c>
    </row>
    <row r="272" spans="1:10" ht="18.75" customHeight="1" x14ac:dyDescent="0.2">
      <c r="A272" s="340" t="s">
        <v>1261</v>
      </c>
      <c r="B272" s="10"/>
      <c r="C272" s="161"/>
      <c r="D272" s="831"/>
      <c r="E272" s="488"/>
      <c r="F272" s="845"/>
      <c r="G272" s="847"/>
      <c r="H272" s="325">
        <f>+H274</f>
        <v>484508</v>
      </c>
      <c r="I272" s="320">
        <f>+I274</f>
        <v>329363.5</v>
      </c>
      <c r="J272" s="320">
        <f>+I272/H272*100</f>
        <v>67.978960099730031</v>
      </c>
    </row>
    <row r="273" spans="1:10" ht="18.75" customHeight="1" x14ac:dyDescent="0.2">
      <c r="A273" s="682"/>
      <c r="B273" s="149" t="s">
        <v>1248</v>
      </c>
      <c r="C273" s="161"/>
      <c r="D273" s="831"/>
      <c r="E273" s="488"/>
      <c r="F273" s="845"/>
      <c r="G273" s="847"/>
      <c r="H273" s="124"/>
      <c r="I273" s="83"/>
      <c r="J273" s="124"/>
    </row>
    <row r="274" spans="1:10" s="145" customFormat="1" ht="29.25" customHeight="1" x14ac:dyDescent="0.2">
      <c r="A274" s="718">
        <v>1</v>
      </c>
      <c r="B274" s="608" t="s">
        <v>1260</v>
      </c>
      <c r="C274" s="686" t="s">
        <v>170</v>
      </c>
      <c r="D274" s="831" t="s">
        <v>64</v>
      </c>
      <c r="E274" s="63">
        <v>1</v>
      </c>
      <c r="F274" s="913">
        <v>0.9</v>
      </c>
      <c r="G274" s="847">
        <f>+F274/E274*100</f>
        <v>90</v>
      </c>
      <c r="H274" s="845">
        <v>484508</v>
      </c>
      <c r="I274" s="847">
        <v>329363.5</v>
      </c>
      <c r="J274" s="847">
        <f>+I274/H274*100</f>
        <v>67.978960099730031</v>
      </c>
    </row>
    <row r="275" spans="1:10" x14ac:dyDescent="0.2">
      <c r="A275" s="663"/>
      <c r="B275" s="465"/>
      <c r="C275" s="812"/>
      <c r="D275" s="850"/>
      <c r="E275" s="813"/>
      <c r="F275" s="829"/>
      <c r="G275" s="830"/>
      <c r="H275" s="465"/>
      <c r="I275" s="465"/>
      <c r="J275" s="465"/>
    </row>
    <row r="276" spans="1:10" ht="15" x14ac:dyDescent="0.25">
      <c r="A276" s="334"/>
      <c r="B276" s="335"/>
      <c r="C276" s="297"/>
      <c r="D276" s="851"/>
      <c r="E276" s="336"/>
      <c r="F276" s="409"/>
      <c r="G276" s="343"/>
    </row>
    <row r="277" spans="1:10" ht="15" x14ac:dyDescent="0.25">
      <c r="A277" s="334"/>
      <c r="B277" s="335"/>
      <c r="C277" s="297"/>
      <c r="D277" s="297"/>
      <c r="E277" s="336"/>
      <c r="F277" s="409"/>
      <c r="G277" s="279"/>
    </row>
    <row r="278" spans="1:10" ht="15" x14ac:dyDescent="0.25">
      <c r="A278" s="334"/>
      <c r="B278" s="335"/>
      <c r="C278" s="297"/>
      <c r="D278" s="297"/>
      <c r="E278" s="336"/>
      <c r="F278" s="409"/>
      <c r="G278" s="279"/>
    </row>
    <row r="279" spans="1:10" ht="15" x14ac:dyDescent="0.25">
      <c r="A279" s="334"/>
      <c r="B279" s="335"/>
      <c r="C279" s="297"/>
      <c r="D279" s="297"/>
      <c r="E279" s="336"/>
      <c r="F279" s="409"/>
      <c r="G279" s="279"/>
    </row>
    <row r="280" spans="1:10" x14ac:dyDescent="0.2">
      <c r="F280" s="409"/>
      <c r="G280" s="279"/>
    </row>
    <row r="281" spans="1:10" x14ac:dyDescent="0.2">
      <c r="F281" s="409"/>
      <c r="G281" s="279"/>
    </row>
    <row r="282" spans="1:10" x14ac:dyDescent="0.2">
      <c r="F282" s="409"/>
      <c r="G282" s="279"/>
    </row>
    <row r="283" spans="1:10" x14ac:dyDescent="0.2">
      <c r="F283" s="409"/>
      <c r="G283" s="279"/>
    </row>
    <row r="284" spans="1:10" x14ac:dyDescent="0.2">
      <c r="F284" s="409"/>
      <c r="G284" s="279"/>
    </row>
    <row r="285" spans="1:10" x14ac:dyDescent="0.2">
      <c r="F285" s="409"/>
      <c r="G285" s="279"/>
    </row>
    <row r="286" spans="1:10" x14ac:dyDescent="0.2">
      <c r="F286" s="409"/>
      <c r="G286" s="279"/>
    </row>
    <row r="287" spans="1:10" x14ac:dyDescent="0.2">
      <c r="F287" s="409"/>
      <c r="G287" s="279"/>
    </row>
    <row r="288" spans="1:10" x14ac:dyDescent="0.2">
      <c r="F288" s="409"/>
      <c r="G288" s="279"/>
    </row>
    <row r="289" spans="6:7" x14ac:dyDescent="0.2">
      <c r="F289" s="409"/>
      <c r="G289" s="279"/>
    </row>
    <row r="290" spans="6:7" x14ac:dyDescent="0.2">
      <c r="F290" s="409"/>
      <c r="G290" s="279"/>
    </row>
    <row r="291" spans="6:7" x14ac:dyDescent="0.2">
      <c r="F291" s="409"/>
      <c r="G291" s="279"/>
    </row>
    <row r="292" spans="6:7" x14ac:dyDescent="0.2">
      <c r="F292" s="409"/>
      <c r="G292" s="279"/>
    </row>
    <row r="293" spans="6:7" x14ac:dyDescent="0.2">
      <c r="F293" s="409"/>
      <c r="G293" s="279"/>
    </row>
    <row r="294" spans="6:7" x14ac:dyDescent="0.2">
      <c r="F294" s="409"/>
      <c r="G294" s="279"/>
    </row>
    <row r="295" spans="6:7" x14ac:dyDescent="0.2">
      <c r="F295" s="409"/>
      <c r="G295" s="279"/>
    </row>
    <row r="296" spans="6:7" x14ac:dyDescent="0.2">
      <c r="F296" s="409"/>
      <c r="G296" s="279"/>
    </row>
    <row r="297" spans="6:7" x14ac:dyDescent="0.2">
      <c r="F297" s="409"/>
      <c r="G297" s="279"/>
    </row>
    <row r="298" spans="6:7" x14ac:dyDescent="0.2">
      <c r="F298" s="409"/>
      <c r="G298" s="279"/>
    </row>
    <row r="299" spans="6:7" x14ac:dyDescent="0.2">
      <c r="F299" s="409"/>
      <c r="G299" s="279"/>
    </row>
    <row r="300" spans="6:7" x14ac:dyDescent="0.2">
      <c r="F300" s="409"/>
      <c r="G300" s="279"/>
    </row>
    <row r="301" spans="6:7" x14ac:dyDescent="0.2">
      <c r="F301" s="409"/>
      <c r="G301" s="279"/>
    </row>
    <row r="302" spans="6:7" x14ac:dyDescent="0.2">
      <c r="F302" s="409"/>
      <c r="G302" s="279"/>
    </row>
    <row r="303" spans="6:7" x14ac:dyDescent="0.2">
      <c r="F303" s="409"/>
      <c r="G303" s="279"/>
    </row>
    <row r="304" spans="6:7" x14ac:dyDescent="0.2">
      <c r="F304" s="409"/>
      <c r="G304" s="279"/>
    </row>
    <row r="305" spans="6:7" x14ac:dyDescent="0.2">
      <c r="F305" s="409"/>
      <c r="G305" s="279"/>
    </row>
    <row r="306" spans="6:7" x14ac:dyDescent="0.2">
      <c r="F306" s="409"/>
    </row>
    <row r="307" spans="6:7" x14ac:dyDescent="0.2">
      <c r="F307" s="409"/>
    </row>
    <row r="308" spans="6:7" x14ac:dyDescent="0.2">
      <c r="F308" s="409"/>
    </row>
    <row r="309" spans="6:7" x14ac:dyDescent="0.2">
      <c r="F309" s="409"/>
    </row>
    <row r="310" spans="6:7" x14ac:dyDescent="0.2">
      <c r="F310" s="409"/>
    </row>
    <row r="311" spans="6:7" x14ac:dyDescent="0.2">
      <c r="F311" s="409"/>
    </row>
    <row r="312" spans="6:7" x14ac:dyDescent="0.2">
      <c r="F312" s="409"/>
    </row>
    <row r="313" spans="6:7" x14ac:dyDescent="0.2">
      <c r="F313" s="409"/>
    </row>
    <row r="314" spans="6:7" x14ac:dyDescent="0.2">
      <c r="F314" s="409"/>
    </row>
    <row r="315" spans="6:7" x14ac:dyDescent="0.2">
      <c r="F315" s="409"/>
    </row>
    <row r="316" spans="6:7" x14ac:dyDescent="0.2">
      <c r="F316" s="409"/>
    </row>
    <row r="317" spans="6:7" x14ac:dyDescent="0.2">
      <c r="F317" s="409"/>
    </row>
    <row r="318" spans="6:7" x14ac:dyDescent="0.2">
      <c r="F318" s="409"/>
    </row>
    <row r="319" spans="6:7" x14ac:dyDescent="0.2">
      <c r="F319" s="409"/>
    </row>
    <row r="320" spans="6:7" x14ac:dyDescent="0.2">
      <c r="F320" s="409"/>
    </row>
    <row r="321" spans="6:6" x14ac:dyDescent="0.2">
      <c r="F321" s="409"/>
    </row>
    <row r="322" spans="6:6" x14ac:dyDescent="0.2">
      <c r="F322" s="409"/>
    </row>
    <row r="323" spans="6:6" x14ac:dyDescent="0.2">
      <c r="F323" s="409"/>
    </row>
    <row r="324" spans="6:6" x14ac:dyDescent="0.2">
      <c r="F324" s="409"/>
    </row>
    <row r="325" spans="6:6" x14ac:dyDescent="0.2">
      <c r="F325" s="409"/>
    </row>
    <row r="326" spans="6:6" x14ac:dyDescent="0.2">
      <c r="F326" s="409"/>
    </row>
    <row r="327" spans="6:6" x14ac:dyDescent="0.2">
      <c r="F327" s="409"/>
    </row>
    <row r="328" spans="6:6" x14ac:dyDescent="0.2">
      <c r="F328" s="409"/>
    </row>
    <row r="329" spans="6:6" x14ac:dyDescent="0.2">
      <c r="F329" s="409"/>
    </row>
    <row r="330" spans="6:6" x14ac:dyDescent="0.2">
      <c r="F330" s="409"/>
    </row>
    <row r="331" spans="6:6" x14ac:dyDescent="0.2">
      <c r="F331" s="409"/>
    </row>
    <row r="332" spans="6:6" x14ac:dyDescent="0.2">
      <c r="F332" s="409"/>
    </row>
    <row r="333" spans="6:6" x14ac:dyDescent="0.2">
      <c r="F333" s="409"/>
    </row>
    <row r="334" spans="6:6" x14ac:dyDescent="0.2">
      <c r="F334" s="409"/>
    </row>
    <row r="335" spans="6:6" x14ac:dyDescent="0.2">
      <c r="F335" s="409"/>
    </row>
    <row r="336" spans="6:6" x14ac:dyDescent="0.2">
      <c r="F336" s="409"/>
    </row>
    <row r="337" spans="6:6" x14ac:dyDescent="0.2">
      <c r="F337" s="409"/>
    </row>
    <row r="338" spans="6:6" x14ac:dyDescent="0.2">
      <c r="F338" s="409"/>
    </row>
    <row r="339" spans="6:6" x14ac:dyDescent="0.2">
      <c r="F339" s="409"/>
    </row>
    <row r="340" spans="6:6" x14ac:dyDescent="0.2">
      <c r="F340" s="409"/>
    </row>
    <row r="341" spans="6:6" x14ac:dyDescent="0.2">
      <c r="F341" s="409"/>
    </row>
    <row r="342" spans="6:6" x14ac:dyDescent="0.2">
      <c r="F342" s="409"/>
    </row>
    <row r="343" spans="6:6" x14ac:dyDescent="0.2">
      <c r="F343" s="409"/>
    </row>
    <row r="344" spans="6:6" x14ac:dyDescent="0.2">
      <c r="F344" s="409"/>
    </row>
    <row r="345" spans="6:6" x14ac:dyDescent="0.2">
      <c r="F345" s="409"/>
    </row>
    <row r="346" spans="6:6" x14ac:dyDescent="0.2">
      <c r="F346" s="409"/>
    </row>
    <row r="347" spans="6:6" x14ac:dyDescent="0.2">
      <c r="F347" s="409"/>
    </row>
    <row r="348" spans="6:6" x14ac:dyDescent="0.2">
      <c r="F348" s="409"/>
    </row>
    <row r="349" spans="6:6" x14ac:dyDescent="0.2">
      <c r="F349" s="409"/>
    </row>
    <row r="350" spans="6:6" x14ac:dyDescent="0.2">
      <c r="F350" s="409"/>
    </row>
    <row r="351" spans="6:6" x14ac:dyDescent="0.2">
      <c r="F351" s="409"/>
    </row>
    <row r="352" spans="6:6" x14ac:dyDescent="0.2">
      <c r="F352" s="409"/>
    </row>
    <row r="353" spans="6:6" x14ac:dyDescent="0.2">
      <c r="F353" s="409"/>
    </row>
    <row r="354" spans="6:6" x14ac:dyDescent="0.2">
      <c r="F354" s="409"/>
    </row>
    <row r="355" spans="6:6" x14ac:dyDescent="0.2">
      <c r="F355" s="409"/>
    </row>
    <row r="356" spans="6:6" x14ac:dyDescent="0.2">
      <c r="F356" s="409"/>
    </row>
    <row r="357" spans="6:6" x14ac:dyDescent="0.2">
      <c r="F357" s="409"/>
    </row>
    <row r="358" spans="6:6" x14ac:dyDescent="0.2">
      <c r="F358" s="409"/>
    </row>
    <row r="359" spans="6:6" x14ac:dyDescent="0.2">
      <c r="F359" s="409"/>
    </row>
    <row r="360" spans="6:6" x14ac:dyDescent="0.2">
      <c r="F360" s="409"/>
    </row>
    <row r="361" spans="6:6" x14ac:dyDescent="0.2">
      <c r="F361" s="409"/>
    </row>
    <row r="362" spans="6:6" x14ac:dyDescent="0.2">
      <c r="F362" s="409"/>
    </row>
    <row r="363" spans="6:6" x14ac:dyDescent="0.2">
      <c r="F363" s="409"/>
    </row>
    <row r="364" spans="6:6" x14ac:dyDescent="0.2">
      <c r="F364" s="409"/>
    </row>
    <row r="365" spans="6:6" x14ac:dyDescent="0.2">
      <c r="F365" s="409"/>
    </row>
    <row r="366" spans="6:6" x14ac:dyDescent="0.2">
      <c r="F366" s="409"/>
    </row>
    <row r="367" spans="6:6" x14ac:dyDescent="0.2">
      <c r="F367" s="409"/>
    </row>
    <row r="368" spans="6:6" x14ac:dyDescent="0.2">
      <c r="F368" s="409"/>
    </row>
    <row r="369" spans="6:6" x14ac:dyDescent="0.2">
      <c r="F369" s="409"/>
    </row>
    <row r="370" spans="6:6" x14ac:dyDescent="0.2">
      <c r="F370" s="409"/>
    </row>
    <row r="371" spans="6:6" x14ac:dyDescent="0.2">
      <c r="F371" s="409"/>
    </row>
    <row r="372" spans="6:6" x14ac:dyDescent="0.2">
      <c r="F372" s="409"/>
    </row>
    <row r="373" spans="6:6" x14ac:dyDescent="0.2">
      <c r="F373" s="409"/>
    </row>
    <row r="374" spans="6:6" x14ac:dyDescent="0.2">
      <c r="F374" s="409"/>
    </row>
    <row r="375" spans="6:6" x14ac:dyDescent="0.2">
      <c r="F375" s="409"/>
    </row>
    <row r="376" spans="6:6" x14ac:dyDescent="0.2">
      <c r="F376" s="409"/>
    </row>
    <row r="377" spans="6:6" x14ac:dyDescent="0.2">
      <c r="F377" s="409"/>
    </row>
    <row r="378" spans="6:6" x14ac:dyDescent="0.2">
      <c r="F378" s="409"/>
    </row>
    <row r="379" spans="6:6" x14ac:dyDescent="0.2">
      <c r="F379" s="409"/>
    </row>
    <row r="380" spans="6:6" x14ac:dyDescent="0.2">
      <c r="F380" s="409"/>
    </row>
    <row r="381" spans="6:6" x14ac:dyDescent="0.2">
      <c r="F381" s="409"/>
    </row>
    <row r="382" spans="6:6" x14ac:dyDescent="0.2">
      <c r="F382" s="409"/>
    </row>
    <row r="383" spans="6:6" x14ac:dyDescent="0.2">
      <c r="F383" s="409"/>
    </row>
    <row r="384" spans="6:6" x14ac:dyDescent="0.2">
      <c r="F384" s="409"/>
    </row>
    <row r="385" spans="6:6" x14ac:dyDescent="0.2">
      <c r="F385" s="409"/>
    </row>
    <row r="386" spans="6:6" x14ac:dyDescent="0.2">
      <c r="F386" s="409"/>
    </row>
    <row r="387" spans="6:6" x14ac:dyDescent="0.2">
      <c r="F387" s="409"/>
    </row>
    <row r="388" spans="6:6" x14ac:dyDescent="0.2">
      <c r="F388" s="409"/>
    </row>
    <row r="389" spans="6:6" x14ac:dyDescent="0.2">
      <c r="F389" s="409"/>
    </row>
    <row r="390" spans="6:6" x14ac:dyDescent="0.2">
      <c r="F390" s="409"/>
    </row>
    <row r="391" spans="6:6" x14ac:dyDescent="0.2">
      <c r="F391" s="409"/>
    </row>
    <row r="392" spans="6:6" x14ac:dyDescent="0.2">
      <c r="F392" s="409"/>
    </row>
    <row r="393" spans="6:6" x14ac:dyDescent="0.2">
      <c r="F393" s="409"/>
    </row>
    <row r="394" spans="6:6" x14ac:dyDescent="0.2">
      <c r="F394" s="409"/>
    </row>
    <row r="395" spans="6:6" x14ac:dyDescent="0.2">
      <c r="F395" s="409"/>
    </row>
    <row r="396" spans="6:6" x14ac:dyDescent="0.2">
      <c r="F396" s="409"/>
    </row>
    <row r="397" spans="6:6" x14ac:dyDescent="0.2">
      <c r="F397" s="409"/>
    </row>
    <row r="398" spans="6:6" x14ac:dyDescent="0.2">
      <c r="F398" s="409"/>
    </row>
    <row r="399" spans="6:6" x14ac:dyDescent="0.2">
      <c r="F399" s="409"/>
    </row>
    <row r="400" spans="6:6" x14ac:dyDescent="0.2">
      <c r="F400" s="409"/>
    </row>
    <row r="401" spans="6:6" x14ac:dyDescent="0.2">
      <c r="F401" s="409"/>
    </row>
    <row r="402" spans="6:6" x14ac:dyDescent="0.2">
      <c r="F402" s="409"/>
    </row>
    <row r="403" spans="6:6" x14ac:dyDescent="0.2">
      <c r="F403" s="409"/>
    </row>
    <row r="404" spans="6:6" x14ac:dyDescent="0.2">
      <c r="F404" s="409"/>
    </row>
    <row r="405" spans="6:6" x14ac:dyDescent="0.2">
      <c r="F405" s="409"/>
    </row>
    <row r="406" spans="6:6" x14ac:dyDescent="0.2">
      <c r="F406" s="409"/>
    </row>
    <row r="407" spans="6:6" x14ac:dyDescent="0.2">
      <c r="F407" s="409"/>
    </row>
    <row r="408" spans="6:6" x14ac:dyDescent="0.2">
      <c r="F408" s="409"/>
    </row>
    <row r="409" spans="6:6" x14ac:dyDescent="0.2">
      <c r="F409" s="409"/>
    </row>
    <row r="410" spans="6:6" x14ac:dyDescent="0.2">
      <c r="F410" s="409"/>
    </row>
    <row r="411" spans="6:6" x14ac:dyDescent="0.2">
      <c r="F411" s="409"/>
    </row>
    <row r="412" spans="6:6" x14ac:dyDescent="0.2">
      <c r="F412" s="409"/>
    </row>
    <row r="413" spans="6:6" x14ac:dyDescent="0.2">
      <c r="F413" s="409"/>
    </row>
    <row r="414" spans="6:6" x14ac:dyDescent="0.2">
      <c r="F414" s="409"/>
    </row>
    <row r="415" spans="6:6" x14ac:dyDescent="0.2">
      <c r="F415" s="409"/>
    </row>
    <row r="416" spans="6:6" x14ac:dyDescent="0.2">
      <c r="F416" s="409"/>
    </row>
    <row r="417" spans="6:6" x14ac:dyDescent="0.2">
      <c r="F417" s="409"/>
    </row>
    <row r="418" spans="6:6" x14ac:dyDescent="0.2">
      <c r="F418" s="409"/>
    </row>
    <row r="419" spans="6:6" x14ac:dyDescent="0.2">
      <c r="F419" s="409"/>
    </row>
    <row r="420" spans="6:6" x14ac:dyDescent="0.2">
      <c r="F420" s="409"/>
    </row>
    <row r="421" spans="6:6" x14ac:dyDescent="0.2">
      <c r="F421" s="409"/>
    </row>
    <row r="422" spans="6:6" x14ac:dyDescent="0.2">
      <c r="F422" s="409"/>
    </row>
    <row r="423" spans="6:6" x14ac:dyDescent="0.2">
      <c r="F423" s="409"/>
    </row>
    <row r="424" spans="6:6" x14ac:dyDescent="0.2">
      <c r="F424" s="409"/>
    </row>
    <row r="425" spans="6:6" x14ac:dyDescent="0.2">
      <c r="F425" s="409"/>
    </row>
    <row r="426" spans="6:6" x14ac:dyDescent="0.2">
      <c r="F426" s="409"/>
    </row>
    <row r="427" spans="6:6" x14ac:dyDescent="0.2">
      <c r="F427" s="409"/>
    </row>
    <row r="428" spans="6:6" x14ac:dyDescent="0.2">
      <c r="F428" s="409"/>
    </row>
    <row r="429" spans="6:6" x14ac:dyDescent="0.2">
      <c r="F429" s="409"/>
    </row>
    <row r="430" spans="6:6" x14ac:dyDescent="0.2">
      <c r="F430" s="409"/>
    </row>
    <row r="431" spans="6:6" x14ac:dyDescent="0.2">
      <c r="F431" s="409"/>
    </row>
    <row r="432" spans="6:6" x14ac:dyDescent="0.2">
      <c r="F432" s="409"/>
    </row>
    <row r="433" spans="6:6" x14ac:dyDescent="0.2">
      <c r="F433" s="409"/>
    </row>
    <row r="434" spans="6:6" x14ac:dyDescent="0.2">
      <c r="F434" s="409"/>
    </row>
    <row r="435" spans="6:6" x14ac:dyDescent="0.2">
      <c r="F435" s="409"/>
    </row>
    <row r="436" spans="6:6" x14ac:dyDescent="0.2">
      <c r="F436" s="409"/>
    </row>
    <row r="437" spans="6:6" x14ac:dyDescent="0.2">
      <c r="F437" s="409"/>
    </row>
    <row r="438" spans="6:6" x14ac:dyDescent="0.2">
      <c r="F438" s="409"/>
    </row>
    <row r="439" spans="6:6" x14ac:dyDescent="0.2">
      <c r="F439" s="409"/>
    </row>
    <row r="440" spans="6:6" x14ac:dyDescent="0.2">
      <c r="F440" s="409"/>
    </row>
    <row r="441" spans="6:6" x14ac:dyDescent="0.2">
      <c r="F441" s="409"/>
    </row>
    <row r="442" spans="6:6" x14ac:dyDescent="0.2">
      <c r="F442" s="409"/>
    </row>
    <row r="443" spans="6:6" x14ac:dyDescent="0.2">
      <c r="F443" s="409"/>
    </row>
    <row r="444" spans="6:6" x14ac:dyDescent="0.2">
      <c r="F444" s="409"/>
    </row>
    <row r="445" spans="6:6" x14ac:dyDescent="0.2">
      <c r="F445" s="409"/>
    </row>
    <row r="446" spans="6:6" x14ac:dyDescent="0.2">
      <c r="F446" s="409"/>
    </row>
    <row r="447" spans="6:6" x14ac:dyDescent="0.2">
      <c r="F447" s="409"/>
    </row>
    <row r="448" spans="6:6" x14ac:dyDescent="0.2">
      <c r="F448" s="409"/>
    </row>
    <row r="449" spans="6:6" x14ac:dyDescent="0.2">
      <c r="F449" s="409"/>
    </row>
    <row r="450" spans="6:6" x14ac:dyDescent="0.2">
      <c r="F450" s="409"/>
    </row>
    <row r="451" spans="6:6" x14ac:dyDescent="0.2">
      <c r="F451" s="409"/>
    </row>
    <row r="452" spans="6:6" x14ac:dyDescent="0.2">
      <c r="F452" s="409"/>
    </row>
    <row r="453" spans="6:6" x14ac:dyDescent="0.2">
      <c r="F453" s="409"/>
    </row>
    <row r="454" spans="6:6" x14ac:dyDescent="0.2">
      <c r="F454" s="409"/>
    </row>
    <row r="455" spans="6:6" x14ac:dyDescent="0.2">
      <c r="F455" s="409"/>
    </row>
    <row r="456" spans="6:6" x14ac:dyDescent="0.2">
      <c r="F456" s="409"/>
    </row>
    <row r="457" spans="6:6" x14ac:dyDescent="0.2">
      <c r="F457" s="409"/>
    </row>
    <row r="458" spans="6:6" x14ac:dyDescent="0.2">
      <c r="F458" s="409"/>
    </row>
    <row r="459" spans="6:6" x14ac:dyDescent="0.2">
      <c r="F459" s="409"/>
    </row>
    <row r="460" spans="6:6" x14ac:dyDescent="0.2">
      <c r="F460" s="409"/>
    </row>
    <row r="461" spans="6:6" x14ac:dyDescent="0.2">
      <c r="F461" s="409"/>
    </row>
    <row r="462" spans="6:6" x14ac:dyDescent="0.2">
      <c r="F462" s="409"/>
    </row>
    <row r="463" spans="6:6" x14ac:dyDescent="0.2">
      <c r="F463" s="409"/>
    </row>
    <row r="464" spans="6:6" x14ac:dyDescent="0.2">
      <c r="F464" s="409"/>
    </row>
    <row r="465" spans="6:6" x14ac:dyDescent="0.2">
      <c r="F465" s="409"/>
    </row>
    <row r="466" spans="6:6" x14ac:dyDescent="0.2">
      <c r="F466" s="409"/>
    </row>
    <row r="467" spans="6:6" x14ac:dyDescent="0.2">
      <c r="F467" s="409"/>
    </row>
    <row r="468" spans="6:6" x14ac:dyDescent="0.2">
      <c r="F468" s="409"/>
    </row>
    <row r="469" spans="6:6" x14ac:dyDescent="0.2">
      <c r="F469" s="409"/>
    </row>
    <row r="470" spans="6:6" x14ac:dyDescent="0.2">
      <c r="F470" s="409"/>
    </row>
    <row r="471" spans="6:6" x14ac:dyDescent="0.2">
      <c r="F471" s="409"/>
    </row>
    <row r="472" spans="6:6" x14ac:dyDescent="0.2">
      <c r="F472" s="409"/>
    </row>
    <row r="473" spans="6:6" x14ac:dyDescent="0.2">
      <c r="F473" s="409"/>
    </row>
    <row r="474" spans="6:6" x14ac:dyDescent="0.2">
      <c r="F474" s="409"/>
    </row>
    <row r="475" spans="6:6" x14ac:dyDescent="0.2">
      <c r="F475" s="409"/>
    </row>
    <row r="476" spans="6:6" x14ac:dyDescent="0.2">
      <c r="F476" s="409"/>
    </row>
    <row r="477" spans="6:6" x14ac:dyDescent="0.2">
      <c r="F477" s="409"/>
    </row>
    <row r="478" spans="6:6" x14ac:dyDescent="0.2">
      <c r="F478" s="409"/>
    </row>
    <row r="479" spans="6:6" x14ac:dyDescent="0.2">
      <c r="F479" s="409"/>
    </row>
    <row r="480" spans="6:6" x14ac:dyDescent="0.2">
      <c r="F480" s="409"/>
    </row>
    <row r="481" spans="6:6" x14ac:dyDescent="0.2">
      <c r="F481" s="409"/>
    </row>
    <row r="482" spans="6:6" x14ac:dyDescent="0.2">
      <c r="F482" s="409"/>
    </row>
    <row r="483" spans="6:6" x14ac:dyDescent="0.2">
      <c r="F483" s="409"/>
    </row>
    <row r="484" spans="6:6" x14ac:dyDescent="0.2">
      <c r="F484" s="409"/>
    </row>
    <row r="485" spans="6:6" x14ac:dyDescent="0.2">
      <c r="F485" s="409"/>
    </row>
    <row r="486" spans="6:6" x14ac:dyDescent="0.2">
      <c r="F486" s="409"/>
    </row>
    <row r="487" spans="6:6" x14ac:dyDescent="0.2">
      <c r="F487" s="409"/>
    </row>
    <row r="488" spans="6:6" x14ac:dyDescent="0.2">
      <c r="F488" s="409"/>
    </row>
    <row r="489" spans="6:6" x14ac:dyDescent="0.2">
      <c r="F489" s="409"/>
    </row>
    <row r="490" spans="6:6" x14ac:dyDescent="0.2">
      <c r="F490" s="409"/>
    </row>
    <row r="491" spans="6:6" x14ac:dyDescent="0.2">
      <c r="F491" s="409"/>
    </row>
    <row r="492" spans="6:6" x14ac:dyDescent="0.2">
      <c r="F492" s="409"/>
    </row>
    <row r="493" spans="6:6" x14ac:dyDescent="0.2">
      <c r="F493" s="409"/>
    </row>
    <row r="494" spans="6:6" x14ac:dyDescent="0.2">
      <c r="F494" s="409"/>
    </row>
    <row r="495" spans="6:6" x14ac:dyDescent="0.2">
      <c r="F495" s="409"/>
    </row>
    <row r="496" spans="6:6" x14ac:dyDescent="0.2">
      <c r="F496" s="409"/>
    </row>
    <row r="497" spans="6:6" x14ac:dyDescent="0.2">
      <c r="F497" s="409"/>
    </row>
    <row r="498" spans="6:6" x14ac:dyDescent="0.2">
      <c r="F498" s="409"/>
    </row>
    <row r="499" spans="6:6" x14ac:dyDescent="0.2">
      <c r="F499" s="409"/>
    </row>
    <row r="500" spans="6:6" x14ac:dyDescent="0.2">
      <c r="F500" s="409"/>
    </row>
    <row r="501" spans="6:6" x14ac:dyDescent="0.2">
      <c r="F501" s="409"/>
    </row>
    <row r="502" spans="6:6" x14ac:dyDescent="0.2">
      <c r="F502" s="409"/>
    </row>
    <row r="503" spans="6:6" x14ac:dyDescent="0.2">
      <c r="F503" s="409"/>
    </row>
    <row r="504" spans="6:6" x14ac:dyDescent="0.2">
      <c r="F504" s="409"/>
    </row>
    <row r="505" spans="6:6" x14ac:dyDescent="0.2">
      <c r="F505" s="409"/>
    </row>
    <row r="506" spans="6:6" x14ac:dyDescent="0.2">
      <c r="F506" s="409"/>
    </row>
    <row r="507" spans="6:6" x14ac:dyDescent="0.2">
      <c r="F507" s="409"/>
    </row>
    <row r="508" spans="6:6" x14ac:dyDescent="0.2">
      <c r="F508" s="409"/>
    </row>
    <row r="509" spans="6:6" x14ac:dyDescent="0.2">
      <c r="F509" s="409"/>
    </row>
    <row r="510" spans="6:6" x14ac:dyDescent="0.2">
      <c r="F510" s="409"/>
    </row>
    <row r="511" spans="6:6" x14ac:dyDescent="0.2">
      <c r="F511" s="409"/>
    </row>
    <row r="512" spans="6:6" x14ac:dyDescent="0.2">
      <c r="F512" s="409"/>
    </row>
    <row r="513" spans="6:6" x14ac:dyDescent="0.2">
      <c r="F513" s="409"/>
    </row>
    <row r="514" spans="6:6" x14ac:dyDescent="0.2">
      <c r="F514" s="409"/>
    </row>
    <row r="515" spans="6:6" x14ac:dyDescent="0.2">
      <c r="F515" s="409"/>
    </row>
    <row r="516" spans="6:6" x14ac:dyDescent="0.2">
      <c r="F516" s="409"/>
    </row>
    <row r="517" spans="6:6" x14ac:dyDescent="0.2">
      <c r="F517" s="409"/>
    </row>
    <row r="518" spans="6:6" x14ac:dyDescent="0.2">
      <c r="F518" s="409"/>
    </row>
    <row r="519" spans="6:6" x14ac:dyDescent="0.2">
      <c r="F519" s="409"/>
    </row>
    <row r="520" spans="6:6" x14ac:dyDescent="0.2">
      <c r="F520" s="409"/>
    </row>
    <row r="521" spans="6:6" x14ac:dyDescent="0.2">
      <c r="F521" s="409"/>
    </row>
    <row r="522" spans="6:6" x14ac:dyDescent="0.2">
      <c r="F522" s="409"/>
    </row>
    <row r="523" spans="6:6" x14ac:dyDescent="0.2">
      <c r="F523" s="409"/>
    </row>
    <row r="524" spans="6:6" x14ac:dyDescent="0.2">
      <c r="F524" s="409"/>
    </row>
    <row r="525" spans="6:6" x14ac:dyDescent="0.2">
      <c r="F525" s="409"/>
    </row>
    <row r="526" spans="6:6" x14ac:dyDescent="0.2">
      <c r="F526" s="409"/>
    </row>
    <row r="527" spans="6:6" x14ac:dyDescent="0.2">
      <c r="F527" s="409"/>
    </row>
    <row r="528" spans="6:6" x14ac:dyDescent="0.2">
      <c r="F528" s="409"/>
    </row>
    <row r="529" spans="6:6" x14ac:dyDescent="0.2">
      <c r="F529" s="409"/>
    </row>
    <row r="530" spans="6:6" x14ac:dyDescent="0.2">
      <c r="F530" s="409"/>
    </row>
    <row r="531" spans="6:6" x14ac:dyDescent="0.2">
      <c r="F531" s="409"/>
    </row>
    <row r="532" spans="6:6" x14ac:dyDescent="0.2">
      <c r="F532" s="409"/>
    </row>
    <row r="533" spans="6:6" x14ac:dyDescent="0.2">
      <c r="F533" s="409"/>
    </row>
    <row r="534" spans="6:6" x14ac:dyDescent="0.2">
      <c r="F534" s="409"/>
    </row>
    <row r="535" spans="6:6" x14ac:dyDescent="0.2">
      <c r="F535" s="409"/>
    </row>
    <row r="536" spans="6:6" x14ac:dyDescent="0.2">
      <c r="F536" s="409"/>
    </row>
    <row r="537" spans="6:6" x14ac:dyDescent="0.2">
      <c r="F537" s="409"/>
    </row>
    <row r="538" spans="6:6" x14ac:dyDescent="0.2">
      <c r="F538" s="409"/>
    </row>
    <row r="539" spans="6:6" x14ac:dyDescent="0.2">
      <c r="F539" s="409"/>
    </row>
    <row r="540" spans="6:6" x14ac:dyDescent="0.2">
      <c r="F540" s="409"/>
    </row>
    <row r="541" spans="6:6" x14ac:dyDescent="0.2">
      <c r="F541" s="409"/>
    </row>
    <row r="542" spans="6:6" x14ac:dyDescent="0.2">
      <c r="F542" s="409"/>
    </row>
    <row r="543" spans="6:6" x14ac:dyDescent="0.2">
      <c r="F543" s="409"/>
    </row>
    <row r="544" spans="6:6" x14ac:dyDescent="0.2">
      <c r="F544" s="409"/>
    </row>
    <row r="545" spans="6:6" x14ac:dyDescent="0.2">
      <c r="F545" s="409"/>
    </row>
    <row r="546" spans="6:6" x14ac:dyDescent="0.2">
      <c r="F546" s="409"/>
    </row>
    <row r="547" spans="6:6" x14ac:dyDescent="0.2">
      <c r="F547" s="409"/>
    </row>
    <row r="548" spans="6:6" x14ac:dyDescent="0.2">
      <c r="F548" s="409"/>
    </row>
    <row r="549" spans="6:6" x14ac:dyDescent="0.2">
      <c r="F549" s="409"/>
    </row>
    <row r="550" spans="6:6" x14ac:dyDescent="0.2">
      <c r="F550" s="409"/>
    </row>
    <row r="551" spans="6:6" x14ac:dyDescent="0.2">
      <c r="F551" s="409"/>
    </row>
    <row r="552" spans="6:6" x14ac:dyDescent="0.2">
      <c r="F552" s="409"/>
    </row>
    <row r="553" spans="6:6" x14ac:dyDescent="0.2">
      <c r="F553" s="409"/>
    </row>
    <row r="554" spans="6:6" x14ac:dyDescent="0.2">
      <c r="F554" s="409"/>
    </row>
    <row r="555" spans="6:6" x14ac:dyDescent="0.2">
      <c r="F555" s="409"/>
    </row>
    <row r="556" spans="6:6" x14ac:dyDescent="0.2">
      <c r="F556" s="409"/>
    </row>
    <row r="557" spans="6:6" x14ac:dyDescent="0.2">
      <c r="F557" s="409"/>
    </row>
    <row r="558" spans="6:6" x14ac:dyDescent="0.2">
      <c r="F558" s="409"/>
    </row>
    <row r="559" spans="6:6" x14ac:dyDescent="0.2">
      <c r="F559" s="409"/>
    </row>
    <row r="560" spans="6:6" x14ac:dyDescent="0.2">
      <c r="F560" s="409"/>
    </row>
    <row r="561" spans="6:6" x14ac:dyDescent="0.2">
      <c r="F561" s="409"/>
    </row>
    <row r="562" spans="6:6" x14ac:dyDescent="0.2">
      <c r="F562" s="409"/>
    </row>
    <row r="563" spans="6:6" x14ac:dyDescent="0.2">
      <c r="F563" s="409"/>
    </row>
    <row r="564" spans="6:6" x14ac:dyDescent="0.2">
      <c r="F564" s="409"/>
    </row>
    <row r="565" spans="6:6" x14ac:dyDescent="0.2">
      <c r="F565" s="409"/>
    </row>
    <row r="566" spans="6:6" x14ac:dyDescent="0.2">
      <c r="F566" s="409"/>
    </row>
    <row r="567" spans="6:6" x14ac:dyDescent="0.2">
      <c r="F567" s="409"/>
    </row>
    <row r="568" spans="6:6" x14ac:dyDescent="0.2">
      <c r="F568" s="409"/>
    </row>
    <row r="569" spans="6:6" x14ac:dyDescent="0.2">
      <c r="F569" s="409"/>
    </row>
    <row r="570" spans="6:6" x14ac:dyDescent="0.2">
      <c r="F570" s="409"/>
    </row>
    <row r="571" spans="6:6" x14ac:dyDescent="0.2">
      <c r="F571" s="409"/>
    </row>
    <row r="572" spans="6:6" x14ac:dyDescent="0.2">
      <c r="F572" s="409"/>
    </row>
    <row r="573" spans="6:6" x14ac:dyDescent="0.2">
      <c r="F573" s="409"/>
    </row>
    <row r="574" spans="6:6" x14ac:dyDescent="0.2">
      <c r="F574" s="409"/>
    </row>
    <row r="575" spans="6:6" x14ac:dyDescent="0.2">
      <c r="F575" s="409"/>
    </row>
    <row r="576" spans="6:6" x14ac:dyDescent="0.2">
      <c r="F576" s="409"/>
    </row>
    <row r="577" spans="6:6" x14ac:dyDescent="0.2">
      <c r="F577" s="409"/>
    </row>
    <row r="578" spans="6:6" x14ac:dyDescent="0.2">
      <c r="F578" s="409"/>
    </row>
    <row r="579" spans="6:6" x14ac:dyDescent="0.2">
      <c r="F579" s="409"/>
    </row>
    <row r="580" spans="6:6" x14ac:dyDescent="0.2">
      <c r="F580" s="409"/>
    </row>
    <row r="581" spans="6:6" x14ac:dyDescent="0.2">
      <c r="F581" s="409"/>
    </row>
    <row r="582" spans="6:6" x14ac:dyDescent="0.2">
      <c r="F582" s="409"/>
    </row>
    <row r="583" spans="6:6" x14ac:dyDescent="0.2">
      <c r="F583" s="409"/>
    </row>
    <row r="584" spans="6:6" x14ac:dyDescent="0.2">
      <c r="F584" s="409"/>
    </row>
    <row r="585" spans="6:6" x14ac:dyDescent="0.2">
      <c r="F585" s="409"/>
    </row>
    <row r="586" spans="6:6" x14ac:dyDescent="0.2">
      <c r="F586" s="409"/>
    </row>
    <row r="587" spans="6:6" x14ac:dyDescent="0.2">
      <c r="F587" s="409"/>
    </row>
    <row r="588" spans="6:6" x14ac:dyDescent="0.2">
      <c r="F588" s="409"/>
    </row>
    <row r="589" spans="6:6" x14ac:dyDescent="0.2">
      <c r="F589" s="409"/>
    </row>
    <row r="590" spans="6:6" x14ac:dyDescent="0.2">
      <c r="F590" s="409"/>
    </row>
    <row r="591" spans="6:6" x14ac:dyDescent="0.2">
      <c r="F591" s="409"/>
    </row>
    <row r="592" spans="6:6" x14ac:dyDescent="0.2">
      <c r="F592" s="409"/>
    </row>
    <row r="593" spans="6:6" x14ac:dyDescent="0.2">
      <c r="F593" s="409"/>
    </row>
    <row r="594" spans="6:6" x14ac:dyDescent="0.2">
      <c r="F594" s="409"/>
    </row>
    <row r="595" spans="6:6" x14ac:dyDescent="0.2">
      <c r="F595" s="409"/>
    </row>
    <row r="596" spans="6:6" x14ac:dyDescent="0.2">
      <c r="F596" s="409"/>
    </row>
    <row r="597" spans="6:6" x14ac:dyDescent="0.2">
      <c r="F597" s="409"/>
    </row>
    <row r="598" spans="6:6" x14ac:dyDescent="0.2">
      <c r="F598" s="409"/>
    </row>
    <row r="599" spans="6:6" x14ac:dyDescent="0.2">
      <c r="F599" s="409"/>
    </row>
    <row r="600" spans="6:6" x14ac:dyDescent="0.2">
      <c r="F600" s="409"/>
    </row>
    <row r="601" spans="6:6" x14ac:dyDescent="0.2">
      <c r="F601" s="409"/>
    </row>
    <row r="602" spans="6:6" x14ac:dyDescent="0.2">
      <c r="F602" s="409"/>
    </row>
    <row r="603" spans="6:6" x14ac:dyDescent="0.2">
      <c r="F603" s="409"/>
    </row>
    <row r="604" spans="6:6" x14ac:dyDescent="0.2">
      <c r="F604" s="409"/>
    </row>
    <row r="605" spans="6:6" x14ac:dyDescent="0.2">
      <c r="F605" s="409"/>
    </row>
    <row r="606" spans="6:6" x14ac:dyDescent="0.2">
      <c r="F606" s="409"/>
    </row>
    <row r="607" spans="6:6" x14ac:dyDescent="0.2">
      <c r="F607" s="409"/>
    </row>
    <row r="608" spans="6:6" x14ac:dyDescent="0.2">
      <c r="F608" s="409"/>
    </row>
    <row r="609" spans="6:6" x14ac:dyDescent="0.2">
      <c r="F609" s="409"/>
    </row>
    <row r="610" spans="6:6" x14ac:dyDescent="0.2">
      <c r="F610" s="409"/>
    </row>
    <row r="611" spans="6:6" x14ac:dyDescent="0.2">
      <c r="F611" s="409"/>
    </row>
    <row r="612" spans="6:6" x14ac:dyDescent="0.2">
      <c r="F612" s="409"/>
    </row>
    <row r="613" spans="6:6" x14ac:dyDescent="0.2">
      <c r="F613" s="409"/>
    </row>
    <row r="614" spans="6:6" x14ac:dyDescent="0.2">
      <c r="F614" s="409"/>
    </row>
    <row r="615" spans="6:6" x14ac:dyDescent="0.2">
      <c r="F615" s="409"/>
    </row>
    <row r="616" spans="6:6" x14ac:dyDescent="0.2">
      <c r="F616" s="409"/>
    </row>
    <row r="617" spans="6:6" x14ac:dyDescent="0.2">
      <c r="F617" s="409"/>
    </row>
    <row r="618" spans="6:6" x14ac:dyDescent="0.2">
      <c r="F618" s="409"/>
    </row>
    <row r="619" spans="6:6" x14ac:dyDescent="0.2">
      <c r="F619" s="409"/>
    </row>
    <row r="620" spans="6:6" x14ac:dyDescent="0.2">
      <c r="F620" s="409"/>
    </row>
    <row r="621" spans="6:6" x14ac:dyDescent="0.2">
      <c r="F621" s="409"/>
    </row>
    <row r="622" spans="6:6" x14ac:dyDescent="0.2">
      <c r="F622" s="409"/>
    </row>
    <row r="623" spans="6:6" x14ac:dyDescent="0.2">
      <c r="F623" s="409"/>
    </row>
    <row r="624" spans="6:6" x14ac:dyDescent="0.2">
      <c r="F624" s="409"/>
    </row>
    <row r="625" spans="6:6" x14ac:dyDescent="0.2">
      <c r="F625" s="409"/>
    </row>
    <row r="626" spans="6:6" x14ac:dyDescent="0.2">
      <c r="F626" s="409"/>
    </row>
    <row r="627" spans="6:6" x14ac:dyDescent="0.2">
      <c r="F627" s="409"/>
    </row>
    <row r="628" spans="6:6" x14ac:dyDescent="0.2">
      <c r="F628" s="409"/>
    </row>
    <row r="629" spans="6:6" x14ac:dyDescent="0.2">
      <c r="F629" s="409"/>
    </row>
    <row r="630" spans="6:6" x14ac:dyDescent="0.2">
      <c r="F630" s="409"/>
    </row>
    <row r="631" spans="6:6" x14ac:dyDescent="0.2">
      <c r="F631" s="409"/>
    </row>
    <row r="632" spans="6:6" x14ac:dyDescent="0.2">
      <c r="F632" s="409"/>
    </row>
    <row r="633" spans="6:6" x14ac:dyDescent="0.2">
      <c r="F633" s="409"/>
    </row>
    <row r="634" spans="6:6" x14ac:dyDescent="0.2">
      <c r="F634" s="409"/>
    </row>
    <row r="635" spans="6:6" x14ac:dyDescent="0.2">
      <c r="F635" s="409"/>
    </row>
    <row r="636" spans="6:6" x14ac:dyDescent="0.2">
      <c r="F636" s="409"/>
    </row>
    <row r="637" spans="6:6" x14ac:dyDescent="0.2">
      <c r="F637" s="409"/>
    </row>
    <row r="638" spans="6:6" x14ac:dyDescent="0.2">
      <c r="F638" s="409"/>
    </row>
    <row r="639" spans="6:6" x14ac:dyDescent="0.2">
      <c r="F639" s="409"/>
    </row>
    <row r="640" spans="6:6" x14ac:dyDescent="0.2">
      <c r="F640" s="409"/>
    </row>
    <row r="641" spans="6:6" x14ac:dyDescent="0.2">
      <c r="F641" s="409"/>
    </row>
    <row r="642" spans="6:6" x14ac:dyDescent="0.2">
      <c r="F642" s="409"/>
    </row>
    <row r="643" spans="6:6" x14ac:dyDescent="0.2">
      <c r="F643" s="409"/>
    </row>
    <row r="644" spans="6:6" x14ac:dyDescent="0.2">
      <c r="F644" s="409"/>
    </row>
    <row r="645" spans="6:6" x14ac:dyDescent="0.2">
      <c r="F645" s="409"/>
    </row>
    <row r="646" spans="6:6" x14ac:dyDescent="0.2">
      <c r="F646" s="409"/>
    </row>
    <row r="647" spans="6:6" x14ac:dyDescent="0.2">
      <c r="F647" s="409"/>
    </row>
    <row r="648" spans="6:6" x14ac:dyDescent="0.2">
      <c r="F648" s="409"/>
    </row>
    <row r="649" spans="6:6" x14ac:dyDescent="0.2">
      <c r="F649" s="409"/>
    </row>
    <row r="650" spans="6:6" x14ac:dyDescent="0.2">
      <c r="F650" s="409"/>
    </row>
    <row r="651" spans="6:6" x14ac:dyDescent="0.2">
      <c r="F651" s="409"/>
    </row>
    <row r="652" spans="6:6" x14ac:dyDescent="0.2">
      <c r="F652" s="409"/>
    </row>
    <row r="653" spans="6:6" x14ac:dyDescent="0.2">
      <c r="F653" s="409"/>
    </row>
    <row r="654" spans="6:6" x14ac:dyDescent="0.2">
      <c r="F654" s="409"/>
    </row>
    <row r="655" spans="6:6" x14ac:dyDescent="0.2">
      <c r="F655" s="409"/>
    </row>
    <row r="656" spans="6:6" x14ac:dyDescent="0.2">
      <c r="F656" s="409"/>
    </row>
    <row r="657" spans="6:6" x14ac:dyDescent="0.2">
      <c r="F657" s="409"/>
    </row>
    <row r="658" spans="6:6" x14ac:dyDescent="0.2">
      <c r="F658" s="409"/>
    </row>
    <row r="659" spans="6:6" x14ac:dyDescent="0.2">
      <c r="F659" s="409"/>
    </row>
    <row r="660" spans="6:6" x14ac:dyDescent="0.2">
      <c r="F660" s="409"/>
    </row>
    <row r="661" spans="6:6" x14ac:dyDescent="0.2">
      <c r="F661" s="409"/>
    </row>
    <row r="662" spans="6:6" x14ac:dyDescent="0.2">
      <c r="F662" s="409"/>
    </row>
    <row r="663" spans="6:6" x14ac:dyDescent="0.2">
      <c r="F663" s="409"/>
    </row>
    <row r="664" spans="6:6" x14ac:dyDescent="0.2">
      <c r="F664" s="409"/>
    </row>
    <row r="665" spans="6:6" x14ac:dyDescent="0.2">
      <c r="F665" s="409"/>
    </row>
    <row r="666" spans="6:6" x14ac:dyDescent="0.2">
      <c r="F666" s="409"/>
    </row>
    <row r="667" spans="6:6" x14ac:dyDescent="0.2">
      <c r="F667" s="409"/>
    </row>
    <row r="668" spans="6:6" x14ac:dyDescent="0.2">
      <c r="F668" s="409"/>
    </row>
    <row r="669" spans="6:6" x14ac:dyDescent="0.2">
      <c r="F669" s="409"/>
    </row>
    <row r="670" spans="6:6" x14ac:dyDescent="0.2">
      <c r="F670" s="409"/>
    </row>
    <row r="671" spans="6:6" x14ac:dyDescent="0.2">
      <c r="F671" s="409"/>
    </row>
    <row r="672" spans="6:6" x14ac:dyDescent="0.2">
      <c r="F672" s="409"/>
    </row>
    <row r="673" spans="6:6" x14ac:dyDescent="0.2">
      <c r="F673" s="409"/>
    </row>
    <row r="674" spans="6:6" x14ac:dyDescent="0.2">
      <c r="F674" s="409"/>
    </row>
    <row r="675" spans="6:6" x14ac:dyDescent="0.2">
      <c r="F675" s="409"/>
    </row>
    <row r="676" spans="6:6" x14ac:dyDescent="0.2">
      <c r="F676" s="409"/>
    </row>
    <row r="677" spans="6:6" x14ac:dyDescent="0.2">
      <c r="F677" s="409"/>
    </row>
    <row r="678" spans="6:6" x14ac:dyDescent="0.2">
      <c r="F678" s="409"/>
    </row>
    <row r="679" spans="6:6" x14ac:dyDescent="0.2">
      <c r="F679" s="409"/>
    </row>
    <row r="680" spans="6:6" x14ac:dyDescent="0.2">
      <c r="F680" s="409"/>
    </row>
    <row r="681" spans="6:6" x14ac:dyDescent="0.2">
      <c r="F681" s="409"/>
    </row>
    <row r="682" spans="6:6" x14ac:dyDescent="0.2">
      <c r="F682" s="409"/>
    </row>
    <row r="683" spans="6:6" x14ac:dyDescent="0.2">
      <c r="F683" s="409"/>
    </row>
    <row r="684" spans="6:6" x14ac:dyDescent="0.2">
      <c r="F684" s="409"/>
    </row>
    <row r="685" spans="6:6" x14ac:dyDescent="0.2">
      <c r="F685" s="409"/>
    </row>
    <row r="686" spans="6:6" x14ac:dyDescent="0.2">
      <c r="F686" s="409"/>
    </row>
    <row r="687" spans="6:6" x14ac:dyDescent="0.2">
      <c r="F687" s="409"/>
    </row>
    <row r="688" spans="6:6" x14ac:dyDescent="0.2">
      <c r="F688" s="409"/>
    </row>
    <row r="689" spans="6:6" x14ac:dyDescent="0.2">
      <c r="F689" s="409"/>
    </row>
    <row r="690" spans="6:6" x14ac:dyDescent="0.2">
      <c r="F690" s="409"/>
    </row>
    <row r="691" spans="6:6" x14ac:dyDescent="0.2">
      <c r="F691" s="409"/>
    </row>
    <row r="692" spans="6:6" x14ac:dyDescent="0.2">
      <c r="F692" s="409"/>
    </row>
    <row r="693" spans="6:6" x14ac:dyDescent="0.2">
      <c r="F693" s="409"/>
    </row>
    <row r="694" spans="6:6" x14ac:dyDescent="0.2">
      <c r="F694" s="409"/>
    </row>
    <row r="695" spans="6:6" x14ac:dyDescent="0.2">
      <c r="F695" s="409"/>
    </row>
    <row r="696" spans="6:6" x14ac:dyDescent="0.2">
      <c r="F696" s="409"/>
    </row>
    <row r="697" spans="6:6" x14ac:dyDescent="0.2">
      <c r="F697" s="409"/>
    </row>
    <row r="698" spans="6:6" x14ac:dyDescent="0.2">
      <c r="F698" s="409"/>
    </row>
    <row r="699" spans="6:6" x14ac:dyDescent="0.2">
      <c r="F699" s="409"/>
    </row>
    <row r="700" spans="6:6" x14ac:dyDescent="0.2">
      <c r="F700" s="409"/>
    </row>
    <row r="701" spans="6:6" x14ac:dyDescent="0.2">
      <c r="F701" s="409"/>
    </row>
    <row r="702" spans="6:6" x14ac:dyDescent="0.2">
      <c r="F702" s="409"/>
    </row>
    <row r="703" spans="6:6" x14ac:dyDescent="0.2">
      <c r="F703" s="409"/>
    </row>
    <row r="704" spans="6:6" x14ac:dyDescent="0.2">
      <c r="F704" s="409"/>
    </row>
    <row r="705" spans="6:6" x14ac:dyDescent="0.2">
      <c r="F705" s="409"/>
    </row>
    <row r="706" spans="6:6" x14ac:dyDescent="0.2">
      <c r="F706" s="409"/>
    </row>
    <row r="707" spans="6:6" x14ac:dyDescent="0.2">
      <c r="F707" s="409"/>
    </row>
    <row r="708" spans="6:6" x14ac:dyDescent="0.2">
      <c r="F708" s="409"/>
    </row>
    <row r="709" spans="6:6" x14ac:dyDescent="0.2">
      <c r="F709" s="409"/>
    </row>
    <row r="710" spans="6:6" x14ac:dyDescent="0.2">
      <c r="F710" s="409"/>
    </row>
    <row r="711" spans="6:6" x14ac:dyDescent="0.2">
      <c r="F711" s="409"/>
    </row>
    <row r="712" spans="6:6" x14ac:dyDescent="0.2">
      <c r="F712" s="409"/>
    </row>
    <row r="713" spans="6:6" x14ac:dyDescent="0.2">
      <c r="F713" s="409"/>
    </row>
    <row r="714" spans="6:6" x14ac:dyDescent="0.2">
      <c r="F714" s="409"/>
    </row>
    <row r="715" spans="6:6" x14ac:dyDescent="0.2">
      <c r="F715" s="409"/>
    </row>
    <row r="716" spans="6:6" x14ac:dyDescent="0.2">
      <c r="F716" s="409"/>
    </row>
    <row r="717" spans="6:6" x14ac:dyDescent="0.2">
      <c r="F717" s="409"/>
    </row>
    <row r="718" spans="6:6" x14ac:dyDescent="0.2">
      <c r="F718" s="409"/>
    </row>
    <row r="719" spans="6:6" x14ac:dyDescent="0.2">
      <c r="F719" s="409"/>
    </row>
    <row r="720" spans="6:6" x14ac:dyDescent="0.2">
      <c r="F720" s="409"/>
    </row>
    <row r="721" spans="6:6" x14ac:dyDescent="0.2">
      <c r="F721" s="409"/>
    </row>
    <row r="722" spans="6:6" x14ac:dyDescent="0.2">
      <c r="F722" s="409"/>
    </row>
    <row r="723" spans="6:6" x14ac:dyDescent="0.2">
      <c r="F723" s="409"/>
    </row>
    <row r="724" spans="6:6" x14ac:dyDescent="0.2">
      <c r="F724" s="409"/>
    </row>
    <row r="725" spans="6:6" x14ac:dyDescent="0.2">
      <c r="F725" s="409"/>
    </row>
    <row r="726" spans="6:6" x14ac:dyDescent="0.2">
      <c r="F726" s="409"/>
    </row>
    <row r="727" spans="6:6" x14ac:dyDescent="0.2">
      <c r="F727" s="409"/>
    </row>
    <row r="728" spans="6:6" x14ac:dyDescent="0.2">
      <c r="F728" s="409"/>
    </row>
    <row r="729" spans="6:6" x14ac:dyDescent="0.2">
      <c r="F729" s="409"/>
    </row>
    <row r="730" spans="6:6" x14ac:dyDescent="0.2">
      <c r="F730" s="409"/>
    </row>
    <row r="731" spans="6:6" x14ac:dyDescent="0.2">
      <c r="F731" s="409"/>
    </row>
    <row r="732" spans="6:6" x14ac:dyDescent="0.2">
      <c r="F732" s="409"/>
    </row>
    <row r="733" spans="6:6" x14ac:dyDescent="0.2">
      <c r="F733" s="409"/>
    </row>
    <row r="734" spans="6:6" x14ac:dyDescent="0.2">
      <c r="F734" s="409"/>
    </row>
    <row r="735" spans="6:6" x14ac:dyDescent="0.2">
      <c r="F735" s="409"/>
    </row>
    <row r="736" spans="6:6" x14ac:dyDescent="0.2">
      <c r="F736" s="409"/>
    </row>
    <row r="737" spans="6:6" x14ac:dyDescent="0.2">
      <c r="F737" s="409"/>
    </row>
    <row r="738" spans="6:6" x14ac:dyDescent="0.2">
      <c r="F738" s="409"/>
    </row>
    <row r="739" spans="6:6" x14ac:dyDescent="0.2">
      <c r="F739" s="409"/>
    </row>
    <row r="740" spans="6:6" x14ac:dyDescent="0.2">
      <c r="F740" s="409"/>
    </row>
    <row r="741" spans="6:6" x14ac:dyDescent="0.2">
      <c r="F741" s="409"/>
    </row>
    <row r="742" spans="6:6" x14ac:dyDescent="0.2">
      <c r="F742" s="409"/>
    </row>
    <row r="743" spans="6:6" x14ac:dyDescent="0.2">
      <c r="F743" s="409"/>
    </row>
    <row r="744" spans="6:6" x14ac:dyDescent="0.2">
      <c r="F744" s="409"/>
    </row>
    <row r="745" spans="6:6" x14ac:dyDescent="0.2">
      <c r="F745" s="409"/>
    </row>
    <row r="746" spans="6:6" x14ac:dyDescent="0.2">
      <c r="F746" s="409"/>
    </row>
    <row r="747" spans="6:6" x14ac:dyDescent="0.2">
      <c r="F747" s="409"/>
    </row>
    <row r="748" spans="6:6" x14ac:dyDescent="0.2">
      <c r="F748" s="409"/>
    </row>
    <row r="749" spans="6:6" x14ac:dyDescent="0.2">
      <c r="F749" s="409"/>
    </row>
    <row r="750" spans="6:6" x14ac:dyDescent="0.2">
      <c r="F750" s="409"/>
    </row>
    <row r="751" spans="6:6" x14ac:dyDescent="0.2">
      <c r="F751" s="409"/>
    </row>
    <row r="752" spans="6:6" x14ac:dyDescent="0.2">
      <c r="F752" s="409"/>
    </row>
    <row r="753" spans="6:6" x14ac:dyDescent="0.2">
      <c r="F753" s="409"/>
    </row>
    <row r="754" spans="6:6" x14ac:dyDescent="0.2">
      <c r="F754" s="409"/>
    </row>
    <row r="755" spans="6:6" x14ac:dyDescent="0.2">
      <c r="F755" s="409"/>
    </row>
    <row r="756" spans="6:6" x14ac:dyDescent="0.2">
      <c r="F756" s="409"/>
    </row>
    <row r="757" spans="6:6" x14ac:dyDescent="0.2">
      <c r="F757" s="409"/>
    </row>
    <row r="758" spans="6:6" x14ac:dyDescent="0.2">
      <c r="F758" s="409"/>
    </row>
    <row r="759" spans="6:6" x14ac:dyDescent="0.2">
      <c r="F759" s="409"/>
    </row>
    <row r="760" spans="6:6" x14ac:dyDescent="0.2">
      <c r="F760" s="409"/>
    </row>
    <row r="761" spans="6:6" x14ac:dyDescent="0.2">
      <c r="F761" s="409"/>
    </row>
    <row r="762" spans="6:6" x14ac:dyDescent="0.2">
      <c r="F762" s="409"/>
    </row>
    <row r="763" spans="6:6" x14ac:dyDescent="0.2">
      <c r="F763" s="409"/>
    </row>
    <row r="764" spans="6:6" x14ac:dyDescent="0.2">
      <c r="F764" s="409"/>
    </row>
    <row r="765" spans="6:6" x14ac:dyDescent="0.2">
      <c r="F765" s="409"/>
    </row>
    <row r="766" spans="6:6" x14ac:dyDescent="0.2">
      <c r="F766" s="409"/>
    </row>
    <row r="767" spans="6:6" x14ac:dyDescent="0.2">
      <c r="F767" s="409"/>
    </row>
    <row r="768" spans="6:6" x14ac:dyDescent="0.2">
      <c r="F768" s="409"/>
    </row>
    <row r="769" spans="6:6" x14ac:dyDescent="0.2">
      <c r="F769" s="409"/>
    </row>
    <row r="770" spans="6:6" x14ac:dyDescent="0.2">
      <c r="F770" s="409"/>
    </row>
    <row r="771" spans="6:6" x14ac:dyDescent="0.2">
      <c r="F771" s="409"/>
    </row>
    <row r="772" spans="6:6" x14ac:dyDescent="0.2">
      <c r="F772" s="409"/>
    </row>
    <row r="773" spans="6:6" x14ac:dyDescent="0.2">
      <c r="F773" s="409"/>
    </row>
    <row r="774" spans="6:6" x14ac:dyDescent="0.2">
      <c r="F774" s="409"/>
    </row>
    <row r="775" spans="6:6" x14ac:dyDescent="0.2">
      <c r="F775" s="409"/>
    </row>
    <row r="776" spans="6:6" x14ac:dyDescent="0.2">
      <c r="F776" s="409"/>
    </row>
    <row r="777" spans="6:6" x14ac:dyDescent="0.2">
      <c r="F777" s="409"/>
    </row>
    <row r="778" spans="6:6" x14ac:dyDescent="0.2">
      <c r="F778" s="409"/>
    </row>
    <row r="779" spans="6:6" x14ac:dyDescent="0.2">
      <c r="F779" s="409"/>
    </row>
    <row r="780" spans="6:6" x14ac:dyDescent="0.2">
      <c r="F780" s="409"/>
    </row>
    <row r="781" spans="6:6" x14ac:dyDescent="0.2">
      <c r="F781" s="409"/>
    </row>
    <row r="782" spans="6:6" x14ac:dyDescent="0.2">
      <c r="F782" s="409"/>
    </row>
    <row r="783" spans="6:6" x14ac:dyDescent="0.2">
      <c r="F783" s="409"/>
    </row>
    <row r="784" spans="6:6" x14ac:dyDescent="0.2">
      <c r="F784" s="409"/>
    </row>
    <row r="785" spans="6:6" x14ac:dyDescent="0.2">
      <c r="F785" s="409"/>
    </row>
    <row r="786" spans="6:6" x14ac:dyDescent="0.2">
      <c r="F786" s="409"/>
    </row>
    <row r="787" spans="6:6" x14ac:dyDescent="0.2">
      <c r="F787" s="409"/>
    </row>
    <row r="788" spans="6:6" x14ac:dyDescent="0.2">
      <c r="F788" s="409"/>
    </row>
    <row r="789" spans="6:6" x14ac:dyDescent="0.2">
      <c r="F789" s="409"/>
    </row>
    <row r="790" spans="6:6" x14ac:dyDescent="0.2">
      <c r="F790" s="409"/>
    </row>
    <row r="791" spans="6:6" x14ac:dyDescent="0.2">
      <c r="F791" s="409"/>
    </row>
    <row r="792" spans="6:6" x14ac:dyDescent="0.2">
      <c r="F792" s="409"/>
    </row>
    <row r="793" spans="6:6" x14ac:dyDescent="0.2">
      <c r="F793" s="409"/>
    </row>
    <row r="794" spans="6:6" x14ac:dyDescent="0.2">
      <c r="F794" s="409"/>
    </row>
    <row r="795" spans="6:6" x14ac:dyDescent="0.2">
      <c r="F795" s="409"/>
    </row>
    <row r="796" spans="6:6" x14ac:dyDescent="0.2">
      <c r="F796" s="409"/>
    </row>
    <row r="797" spans="6:6" x14ac:dyDescent="0.2">
      <c r="F797" s="409"/>
    </row>
    <row r="798" spans="6:6" x14ac:dyDescent="0.2">
      <c r="F798" s="409"/>
    </row>
    <row r="799" spans="6:6" x14ac:dyDescent="0.2">
      <c r="F799" s="409"/>
    </row>
    <row r="800" spans="6:6" x14ac:dyDescent="0.2">
      <c r="F800" s="409"/>
    </row>
    <row r="801" spans="6:6" x14ac:dyDescent="0.2">
      <c r="F801" s="409"/>
    </row>
    <row r="802" spans="6:6" x14ac:dyDescent="0.2">
      <c r="F802" s="409"/>
    </row>
    <row r="803" spans="6:6" x14ac:dyDescent="0.2">
      <c r="F803" s="409"/>
    </row>
    <row r="804" spans="6:6" x14ac:dyDescent="0.2">
      <c r="F804" s="409"/>
    </row>
    <row r="805" spans="6:6" x14ac:dyDescent="0.2">
      <c r="F805" s="409"/>
    </row>
    <row r="806" spans="6:6" x14ac:dyDescent="0.2">
      <c r="F806" s="409"/>
    </row>
    <row r="807" spans="6:6" x14ac:dyDescent="0.2">
      <c r="F807" s="409"/>
    </row>
    <row r="808" spans="6:6" x14ac:dyDescent="0.2">
      <c r="F808" s="409"/>
    </row>
    <row r="809" spans="6:6" x14ac:dyDescent="0.2">
      <c r="F809" s="409"/>
    </row>
    <row r="810" spans="6:6" x14ac:dyDescent="0.2">
      <c r="F810" s="409"/>
    </row>
    <row r="811" spans="6:6" x14ac:dyDescent="0.2">
      <c r="F811" s="409"/>
    </row>
    <row r="812" spans="6:6" x14ac:dyDescent="0.2">
      <c r="F812" s="409"/>
    </row>
    <row r="813" spans="6:6" x14ac:dyDescent="0.2">
      <c r="F813" s="409"/>
    </row>
    <row r="814" spans="6:6" x14ac:dyDescent="0.2">
      <c r="F814" s="409"/>
    </row>
    <row r="815" spans="6:6" x14ac:dyDescent="0.2">
      <c r="F815" s="409"/>
    </row>
    <row r="816" spans="6:6" x14ac:dyDescent="0.2">
      <c r="F816" s="409"/>
    </row>
    <row r="817" spans="6:6" x14ac:dyDescent="0.2">
      <c r="F817" s="409"/>
    </row>
    <row r="818" spans="6:6" x14ac:dyDescent="0.2">
      <c r="F818" s="409"/>
    </row>
    <row r="819" spans="6:6" x14ac:dyDescent="0.2">
      <c r="F819" s="409"/>
    </row>
    <row r="820" spans="6:6" x14ac:dyDescent="0.2">
      <c r="F820" s="409"/>
    </row>
    <row r="821" spans="6:6" x14ac:dyDescent="0.2">
      <c r="F821" s="409"/>
    </row>
    <row r="822" spans="6:6" x14ac:dyDescent="0.2">
      <c r="F822" s="409"/>
    </row>
    <row r="823" spans="6:6" x14ac:dyDescent="0.2">
      <c r="F823" s="409"/>
    </row>
    <row r="824" spans="6:6" x14ac:dyDescent="0.2">
      <c r="F824" s="409"/>
    </row>
    <row r="825" spans="6:6" x14ac:dyDescent="0.2">
      <c r="F825" s="409"/>
    </row>
    <row r="826" spans="6:6" x14ac:dyDescent="0.2">
      <c r="F826" s="409"/>
    </row>
    <row r="827" spans="6:6" x14ac:dyDescent="0.2">
      <c r="F827" s="409"/>
    </row>
    <row r="828" spans="6:6" x14ac:dyDescent="0.2">
      <c r="F828" s="409"/>
    </row>
    <row r="829" spans="6:6" x14ac:dyDescent="0.2">
      <c r="F829" s="409"/>
    </row>
    <row r="830" spans="6:6" x14ac:dyDescent="0.2">
      <c r="F830" s="409"/>
    </row>
    <row r="831" spans="6:6" x14ac:dyDescent="0.2">
      <c r="F831" s="409"/>
    </row>
    <row r="832" spans="6:6" x14ac:dyDescent="0.2">
      <c r="F832" s="409"/>
    </row>
    <row r="833" spans="6:6" x14ac:dyDescent="0.2">
      <c r="F833" s="409"/>
    </row>
    <row r="834" spans="6:6" x14ac:dyDescent="0.2">
      <c r="F834" s="409"/>
    </row>
    <row r="835" spans="6:6" x14ac:dyDescent="0.2">
      <c r="F835" s="409"/>
    </row>
    <row r="836" spans="6:6" x14ac:dyDescent="0.2">
      <c r="F836" s="409"/>
    </row>
    <row r="837" spans="6:6" x14ac:dyDescent="0.2">
      <c r="F837" s="409"/>
    </row>
    <row r="838" spans="6:6" x14ac:dyDescent="0.2">
      <c r="F838" s="409"/>
    </row>
    <row r="839" spans="6:6" x14ac:dyDescent="0.2">
      <c r="F839" s="409"/>
    </row>
    <row r="840" spans="6:6" x14ac:dyDescent="0.2">
      <c r="F840" s="409"/>
    </row>
    <row r="841" spans="6:6" x14ac:dyDescent="0.2">
      <c r="F841" s="409"/>
    </row>
    <row r="842" spans="6:6" x14ac:dyDescent="0.2">
      <c r="F842" s="409"/>
    </row>
    <row r="843" spans="6:6" x14ac:dyDescent="0.2">
      <c r="F843" s="409"/>
    </row>
    <row r="844" spans="6:6" x14ac:dyDescent="0.2">
      <c r="F844" s="409"/>
    </row>
    <row r="845" spans="6:6" x14ac:dyDescent="0.2">
      <c r="F845" s="409"/>
    </row>
    <row r="846" spans="6:6" x14ac:dyDescent="0.2">
      <c r="F846" s="409"/>
    </row>
    <row r="847" spans="6:6" x14ac:dyDescent="0.2">
      <c r="F847" s="409"/>
    </row>
    <row r="848" spans="6:6" x14ac:dyDescent="0.2">
      <c r="F848" s="409"/>
    </row>
    <row r="849" spans="6:6" x14ac:dyDescent="0.2">
      <c r="F849" s="409"/>
    </row>
    <row r="850" spans="6:6" x14ac:dyDescent="0.2">
      <c r="F850" s="409"/>
    </row>
    <row r="851" spans="6:6" x14ac:dyDescent="0.2">
      <c r="F851" s="409"/>
    </row>
    <row r="852" spans="6:6" x14ac:dyDescent="0.2">
      <c r="F852" s="409"/>
    </row>
    <row r="853" spans="6:6" x14ac:dyDescent="0.2">
      <c r="F853" s="409"/>
    </row>
    <row r="854" spans="6:6" x14ac:dyDescent="0.2">
      <c r="F854" s="409"/>
    </row>
    <row r="855" spans="6:6" x14ac:dyDescent="0.2">
      <c r="F855" s="409"/>
    </row>
    <row r="856" spans="6:6" x14ac:dyDescent="0.2">
      <c r="F856" s="409"/>
    </row>
    <row r="857" spans="6:6" x14ac:dyDescent="0.2">
      <c r="F857" s="409"/>
    </row>
    <row r="858" spans="6:6" x14ac:dyDescent="0.2">
      <c r="F858" s="409"/>
    </row>
    <row r="859" spans="6:6" x14ac:dyDescent="0.2">
      <c r="F859" s="409"/>
    </row>
    <row r="860" spans="6:6" x14ac:dyDescent="0.2">
      <c r="F860" s="409"/>
    </row>
    <row r="861" spans="6:6" x14ac:dyDescent="0.2">
      <c r="F861" s="409"/>
    </row>
    <row r="862" spans="6:6" x14ac:dyDescent="0.2">
      <c r="F862" s="409"/>
    </row>
    <row r="863" spans="6:6" x14ac:dyDescent="0.2">
      <c r="F863" s="409"/>
    </row>
    <row r="864" spans="6:6" x14ac:dyDescent="0.2">
      <c r="F864" s="409"/>
    </row>
    <row r="865" spans="6:6" x14ac:dyDescent="0.2">
      <c r="F865" s="409"/>
    </row>
    <row r="866" spans="6:6" x14ac:dyDescent="0.2">
      <c r="F866" s="409"/>
    </row>
    <row r="867" spans="6:6" x14ac:dyDescent="0.2">
      <c r="F867" s="409"/>
    </row>
    <row r="868" spans="6:6" x14ac:dyDescent="0.2">
      <c r="F868" s="409"/>
    </row>
    <row r="869" spans="6:6" x14ac:dyDescent="0.2">
      <c r="F869" s="409"/>
    </row>
    <row r="870" spans="6:6" x14ac:dyDescent="0.2">
      <c r="F870" s="409"/>
    </row>
    <row r="871" spans="6:6" x14ac:dyDescent="0.2">
      <c r="F871" s="409"/>
    </row>
    <row r="872" spans="6:6" x14ac:dyDescent="0.2">
      <c r="F872" s="409"/>
    </row>
    <row r="873" spans="6:6" x14ac:dyDescent="0.2">
      <c r="F873" s="409"/>
    </row>
    <row r="874" spans="6:6" x14ac:dyDescent="0.2">
      <c r="F874" s="409"/>
    </row>
    <row r="875" spans="6:6" x14ac:dyDescent="0.2">
      <c r="F875" s="409"/>
    </row>
    <row r="876" spans="6:6" x14ac:dyDescent="0.2">
      <c r="F876" s="409"/>
    </row>
    <row r="877" spans="6:6" x14ac:dyDescent="0.2">
      <c r="F877" s="409"/>
    </row>
    <row r="878" spans="6:6" x14ac:dyDescent="0.2">
      <c r="F878" s="409"/>
    </row>
    <row r="879" spans="6:6" x14ac:dyDescent="0.2">
      <c r="F879" s="409"/>
    </row>
    <row r="880" spans="6:6" x14ac:dyDescent="0.2">
      <c r="F880" s="409"/>
    </row>
    <row r="881" spans="6:6" x14ac:dyDescent="0.2">
      <c r="F881" s="409"/>
    </row>
    <row r="882" spans="6:6" x14ac:dyDescent="0.2">
      <c r="F882" s="409"/>
    </row>
    <row r="883" spans="6:6" x14ac:dyDescent="0.2">
      <c r="F883" s="409"/>
    </row>
    <row r="884" spans="6:6" x14ac:dyDescent="0.2">
      <c r="F884" s="409"/>
    </row>
    <row r="885" spans="6:6" x14ac:dyDescent="0.2">
      <c r="F885" s="409"/>
    </row>
    <row r="886" spans="6:6" x14ac:dyDescent="0.2">
      <c r="F886" s="409"/>
    </row>
    <row r="887" spans="6:6" x14ac:dyDescent="0.2">
      <c r="F887" s="409"/>
    </row>
    <row r="888" spans="6:6" x14ac:dyDescent="0.2">
      <c r="F888" s="409"/>
    </row>
    <row r="889" spans="6:6" x14ac:dyDescent="0.2">
      <c r="F889" s="409"/>
    </row>
    <row r="890" spans="6:6" x14ac:dyDescent="0.2">
      <c r="F890" s="409"/>
    </row>
    <row r="891" spans="6:6" x14ac:dyDescent="0.2">
      <c r="F891" s="409"/>
    </row>
    <row r="892" spans="6:6" x14ac:dyDescent="0.2">
      <c r="F892" s="409"/>
    </row>
    <row r="893" spans="6:6" x14ac:dyDescent="0.2">
      <c r="F893" s="409"/>
    </row>
    <row r="894" spans="6:6" x14ac:dyDescent="0.2">
      <c r="F894" s="409"/>
    </row>
    <row r="895" spans="6:6" x14ac:dyDescent="0.2">
      <c r="F895" s="409"/>
    </row>
    <row r="896" spans="6:6" x14ac:dyDescent="0.2">
      <c r="F896" s="409"/>
    </row>
    <row r="897" spans="6:6" x14ac:dyDescent="0.2">
      <c r="F897" s="409"/>
    </row>
    <row r="898" spans="6:6" x14ac:dyDescent="0.2">
      <c r="F898" s="409"/>
    </row>
    <row r="899" spans="6:6" x14ac:dyDescent="0.2">
      <c r="F899" s="409"/>
    </row>
    <row r="900" spans="6:6" x14ac:dyDescent="0.2">
      <c r="F900" s="409"/>
    </row>
    <row r="901" spans="6:6" x14ac:dyDescent="0.2">
      <c r="F901" s="409"/>
    </row>
    <row r="902" spans="6:6" x14ac:dyDescent="0.2">
      <c r="F902" s="409"/>
    </row>
    <row r="903" spans="6:6" x14ac:dyDescent="0.2">
      <c r="F903" s="409"/>
    </row>
    <row r="904" spans="6:6" x14ac:dyDescent="0.2">
      <c r="F904" s="409"/>
    </row>
    <row r="905" spans="6:6" x14ac:dyDescent="0.2">
      <c r="F905" s="409"/>
    </row>
    <row r="906" spans="6:6" x14ac:dyDescent="0.2">
      <c r="F906" s="409"/>
    </row>
    <row r="907" spans="6:6" x14ac:dyDescent="0.2">
      <c r="F907" s="409"/>
    </row>
    <row r="908" spans="6:6" x14ac:dyDescent="0.2">
      <c r="F908" s="409"/>
    </row>
    <row r="909" spans="6:6" x14ac:dyDescent="0.2">
      <c r="F909" s="409"/>
    </row>
    <row r="910" spans="6:6" x14ac:dyDescent="0.2">
      <c r="F910" s="409"/>
    </row>
    <row r="911" spans="6:6" x14ac:dyDescent="0.2">
      <c r="F911" s="409"/>
    </row>
    <row r="912" spans="6:6" x14ac:dyDescent="0.2">
      <c r="F912" s="409"/>
    </row>
    <row r="913" spans="6:6" x14ac:dyDescent="0.2">
      <c r="F913" s="409"/>
    </row>
    <row r="914" spans="6:6" x14ac:dyDescent="0.2">
      <c r="F914" s="409"/>
    </row>
    <row r="915" spans="6:6" x14ac:dyDescent="0.2">
      <c r="F915" s="409"/>
    </row>
    <row r="916" spans="6:6" x14ac:dyDescent="0.2">
      <c r="F916" s="409"/>
    </row>
    <row r="917" spans="6:6" x14ac:dyDescent="0.2">
      <c r="F917" s="409"/>
    </row>
    <row r="918" spans="6:6" x14ac:dyDescent="0.2">
      <c r="F918" s="409"/>
    </row>
    <row r="919" spans="6:6" x14ac:dyDescent="0.2">
      <c r="F919" s="409"/>
    </row>
    <row r="920" spans="6:6" x14ac:dyDescent="0.2">
      <c r="F920" s="409"/>
    </row>
    <row r="921" spans="6:6" x14ac:dyDescent="0.2">
      <c r="F921" s="409"/>
    </row>
    <row r="922" spans="6:6" x14ac:dyDescent="0.2">
      <c r="F922" s="409"/>
    </row>
    <row r="923" spans="6:6" x14ac:dyDescent="0.2">
      <c r="F923" s="409"/>
    </row>
    <row r="924" spans="6:6" x14ac:dyDescent="0.2">
      <c r="F924" s="409"/>
    </row>
    <row r="925" spans="6:6" x14ac:dyDescent="0.2">
      <c r="F925" s="409"/>
    </row>
    <row r="926" spans="6:6" x14ac:dyDescent="0.2">
      <c r="F926" s="409"/>
    </row>
    <row r="927" spans="6:6" x14ac:dyDescent="0.2">
      <c r="F927" s="409"/>
    </row>
    <row r="928" spans="6:6" x14ac:dyDescent="0.2">
      <c r="F928" s="409"/>
    </row>
    <row r="929" spans="6:6" x14ac:dyDescent="0.2">
      <c r="F929" s="409"/>
    </row>
    <row r="930" spans="6:6" x14ac:dyDescent="0.2">
      <c r="F930" s="409"/>
    </row>
    <row r="931" spans="6:6" x14ac:dyDescent="0.2">
      <c r="F931" s="409"/>
    </row>
    <row r="932" spans="6:6" x14ac:dyDescent="0.2">
      <c r="F932" s="409"/>
    </row>
    <row r="933" spans="6:6" x14ac:dyDescent="0.2">
      <c r="F933" s="409"/>
    </row>
    <row r="934" spans="6:6" x14ac:dyDescent="0.2">
      <c r="F934" s="409"/>
    </row>
    <row r="935" spans="6:6" x14ac:dyDescent="0.2">
      <c r="F935" s="409"/>
    </row>
    <row r="936" spans="6:6" x14ac:dyDescent="0.2">
      <c r="F936" s="409"/>
    </row>
    <row r="937" spans="6:6" x14ac:dyDescent="0.2">
      <c r="F937" s="409"/>
    </row>
    <row r="938" spans="6:6" x14ac:dyDescent="0.2">
      <c r="F938" s="409"/>
    </row>
    <row r="939" spans="6:6" x14ac:dyDescent="0.2">
      <c r="F939" s="409"/>
    </row>
    <row r="940" spans="6:6" x14ac:dyDescent="0.2">
      <c r="F940" s="409"/>
    </row>
    <row r="941" spans="6:6" x14ac:dyDescent="0.2">
      <c r="F941" s="409"/>
    </row>
    <row r="942" spans="6:6" x14ac:dyDescent="0.2">
      <c r="F942" s="409"/>
    </row>
    <row r="943" spans="6:6" x14ac:dyDescent="0.2">
      <c r="F943" s="409"/>
    </row>
    <row r="944" spans="6:6" x14ac:dyDescent="0.2">
      <c r="F944" s="409"/>
    </row>
    <row r="945" spans="6:6" x14ac:dyDescent="0.2">
      <c r="F945" s="409"/>
    </row>
    <row r="946" spans="6:6" x14ac:dyDescent="0.2">
      <c r="F946" s="409"/>
    </row>
    <row r="947" spans="6:6" x14ac:dyDescent="0.2">
      <c r="F947" s="409"/>
    </row>
    <row r="948" spans="6:6" x14ac:dyDescent="0.2">
      <c r="F948" s="409"/>
    </row>
    <row r="949" spans="6:6" x14ac:dyDescent="0.2">
      <c r="F949" s="409"/>
    </row>
    <row r="950" spans="6:6" x14ac:dyDescent="0.2">
      <c r="F950" s="409"/>
    </row>
    <row r="951" spans="6:6" x14ac:dyDescent="0.2">
      <c r="F951" s="409"/>
    </row>
    <row r="952" spans="6:6" x14ac:dyDescent="0.2">
      <c r="F952" s="409"/>
    </row>
    <row r="953" spans="6:6" x14ac:dyDescent="0.2">
      <c r="F953" s="409"/>
    </row>
    <row r="954" spans="6:6" x14ac:dyDescent="0.2">
      <c r="F954" s="409"/>
    </row>
    <row r="955" spans="6:6" x14ac:dyDescent="0.2">
      <c r="F955" s="409"/>
    </row>
    <row r="956" spans="6:6" x14ac:dyDescent="0.2">
      <c r="F956" s="409"/>
    </row>
    <row r="957" spans="6:6" x14ac:dyDescent="0.2">
      <c r="F957" s="409"/>
    </row>
    <row r="958" spans="6:6" x14ac:dyDescent="0.2">
      <c r="F958" s="409"/>
    </row>
    <row r="959" spans="6:6" x14ac:dyDescent="0.2">
      <c r="F959" s="409"/>
    </row>
    <row r="960" spans="6:6" x14ac:dyDescent="0.2">
      <c r="F960" s="409"/>
    </row>
    <row r="961" spans="6:6" x14ac:dyDescent="0.2">
      <c r="F961" s="409"/>
    </row>
    <row r="962" spans="6:6" x14ac:dyDescent="0.2">
      <c r="F962" s="409"/>
    </row>
    <row r="963" spans="6:6" x14ac:dyDescent="0.2">
      <c r="F963" s="409"/>
    </row>
    <row r="964" spans="6:6" x14ac:dyDescent="0.2">
      <c r="F964" s="409"/>
    </row>
    <row r="965" spans="6:6" x14ac:dyDescent="0.2">
      <c r="F965" s="409"/>
    </row>
    <row r="966" spans="6:6" x14ac:dyDescent="0.2">
      <c r="F966" s="409"/>
    </row>
    <row r="967" spans="6:6" x14ac:dyDescent="0.2">
      <c r="F967" s="409"/>
    </row>
    <row r="968" spans="6:6" x14ac:dyDescent="0.2">
      <c r="F968" s="409"/>
    </row>
    <row r="969" spans="6:6" x14ac:dyDescent="0.2">
      <c r="F969" s="409"/>
    </row>
    <row r="970" spans="6:6" x14ac:dyDescent="0.2">
      <c r="F970" s="409"/>
    </row>
    <row r="971" spans="6:6" x14ac:dyDescent="0.2">
      <c r="F971" s="409"/>
    </row>
    <row r="972" spans="6:6" x14ac:dyDescent="0.2">
      <c r="F972" s="409"/>
    </row>
    <row r="973" spans="6:6" x14ac:dyDescent="0.2">
      <c r="F973" s="409"/>
    </row>
    <row r="974" spans="6:6" x14ac:dyDescent="0.2">
      <c r="F974" s="409"/>
    </row>
    <row r="975" spans="6:6" x14ac:dyDescent="0.2">
      <c r="F975" s="409"/>
    </row>
    <row r="976" spans="6:6" x14ac:dyDescent="0.2">
      <c r="F976" s="409"/>
    </row>
    <row r="977" spans="6:6" x14ac:dyDescent="0.2">
      <c r="F977" s="409"/>
    </row>
    <row r="978" spans="6:6" x14ac:dyDescent="0.2">
      <c r="F978" s="409"/>
    </row>
    <row r="979" spans="6:6" x14ac:dyDescent="0.2">
      <c r="F979" s="409"/>
    </row>
    <row r="980" spans="6:6" x14ac:dyDescent="0.2">
      <c r="F980" s="409"/>
    </row>
    <row r="981" spans="6:6" x14ac:dyDescent="0.2">
      <c r="F981" s="409"/>
    </row>
    <row r="982" spans="6:6" x14ac:dyDescent="0.2">
      <c r="F982" s="409"/>
    </row>
    <row r="983" spans="6:6" x14ac:dyDescent="0.2">
      <c r="F983" s="409"/>
    </row>
    <row r="984" spans="6:6" x14ac:dyDescent="0.2">
      <c r="F984" s="409"/>
    </row>
    <row r="985" spans="6:6" x14ac:dyDescent="0.2">
      <c r="F985" s="409"/>
    </row>
    <row r="986" spans="6:6" x14ac:dyDescent="0.2">
      <c r="F986" s="409"/>
    </row>
    <row r="987" spans="6:6" x14ac:dyDescent="0.2">
      <c r="F987" s="409"/>
    </row>
    <row r="988" spans="6:6" x14ac:dyDescent="0.2">
      <c r="F988" s="409"/>
    </row>
    <row r="989" spans="6:6" x14ac:dyDescent="0.2">
      <c r="F989" s="409"/>
    </row>
    <row r="990" spans="6:6" x14ac:dyDescent="0.2">
      <c r="F990" s="409"/>
    </row>
    <row r="991" spans="6:6" x14ac:dyDescent="0.2">
      <c r="F991" s="409"/>
    </row>
    <row r="992" spans="6:6" x14ac:dyDescent="0.2">
      <c r="F992" s="409"/>
    </row>
    <row r="993" spans="6:6" x14ac:dyDescent="0.2">
      <c r="F993" s="409"/>
    </row>
    <row r="994" spans="6:6" x14ac:dyDescent="0.2">
      <c r="F994" s="409"/>
    </row>
    <row r="995" spans="6:6" x14ac:dyDescent="0.2">
      <c r="F995" s="409"/>
    </row>
    <row r="996" spans="6:6" x14ac:dyDescent="0.2">
      <c r="F996" s="409"/>
    </row>
    <row r="997" spans="6:6" x14ac:dyDescent="0.2">
      <c r="F997" s="409"/>
    </row>
    <row r="998" spans="6:6" x14ac:dyDescent="0.2">
      <c r="F998" s="409"/>
    </row>
    <row r="999" spans="6:6" x14ac:dyDescent="0.2">
      <c r="F999" s="409"/>
    </row>
    <row r="1000" spans="6:6" x14ac:dyDescent="0.2">
      <c r="F1000" s="409"/>
    </row>
    <row r="1001" spans="6:6" x14ac:dyDescent="0.2">
      <c r="F1001" s="409"/>
    </row>
    <row r="1002" spans="6:6" x14ac:dyDescent="0.2">
      <c r="F1002" s="409"/>
    </row>
    <row r="1003" spans="6:6" x14ac:dyDescent="0.2">
      <c r="F1003" s="409"/>
    </row>
    <row r="1004" spans="6:6" x14ac:dyDescent="0.2">
      <c r="F1004" s="409"/>
    </row>
    <row r="1005" spans="6:6" x14ac:dyDescent="0.2">
      <c r="F1005" s="409"/>
    </row>
    <row r="1006" spans="6:6" x14ac:dyDescent="0.2">
      <c r="F1006" s="409"/>
    </row>
    <row r="1007" spans="6:6" x14ac:dyDescent="0.2">
      <c r="F1007" s="409"/>
    </row>
    <row r="1008" spans="6:6" x14ac:dyDescent="0.2">
      <c r="F1008" s="409"/>
    </row>
    <row r="1009" spans="6:6" x14ac:dyDescent="0.2">
      <c r="F1009" s="409"/>
    </row>
    <row r="1010" spans="6:6" x14ac:dyDescent="0.2">
      <c r="F1010" s="409"/>
    </row>
    <row r="1011" spans="6:6" x14ac:dyDescent="0.2">
      <c r="F1011" s="409"/>
    </row>
    <row r="1012" spans="6:6" x14ac:dyDescent="0.2">
      <c r="F1012" s="409"/>
    </row>
    <row r="1013" spans="6:6" x14ac:dyDescent="0.2">
      <c r="F1013" s="409"/>
    </row>
    <row r="1014" spans="6:6" x14ac:dyDescent="0.2">
      <c r="F1014" s="409"/>
    </row>
    <row r="1015" spans="6:6" x14ac:dyDescent="0.2">
      <c r="F1015" s="409"/>
    </row>
    <row r="1016" spans="6:6" x14ac:dyDescent="0.2">
      <c r="F1016" s="409"/>
    </row>
    <row r="1017" spans="6:6" x14ac:dyDescent="0.2">
      <c r="F1017" s="409"/>
    </row>
    <row r="1018" spans="6:6" x14ac:dyDescent="0.2">
      <c r="F1018" s="409"/>
    </row>
    <row r="1019" spans="6:6" x14ac:dyDescent="0.2">
      <c r="F1019" s="409"/>
    </row>
    <row r="1020" spans="6:6" x14ac:dyDescent="0.2">
      <c r="F1020" s="409"/>
    </row>
    <row r="1021" spans="6:6" x14ac:dyDescent="0.2">
      <c r="F1021" s="409"/>
    </row>
    <row r="1022" spans="6:6" x14ac:dyDescent="0.2">
      <c r="F1022" s="409"/>
    </row>
    <row r="1023" spans="6:6" x14ac:dyDescent="0.2">
      <c r="F1023" s="409"/>
    </row>
    <row r="1024" spans="6:6" x14ac:dyDescent="0.2">
      <c r="F1024" s="409"/>
    </row>
    <row r="1025" spans="6:6" x14ac:dyDescent="0.2">
      <c r="F1025" s="409"/>
    </row>
    <row r="1026" spans="6:6" x14ac:dyDescent="0.2">
      <c r="F1026" s="409"/>
    </row>
    <row r="1027" spans="6:6" x14ac:dyDescent="0.2">
      <c r="F1027" s="409"/>
    </row>
    <row r="1028" spans="6:6" x14ac:dyDescent="0.2">
      <c r="F1028" s="409"/>
    </row>
    <row r="1029" spans="6:6" x14ac:dyDescent="0.2">
      <c r="F1029" s="409"/>
    </row>
    <row r="1030" spans="6:6" x14ac:dyDescent="0.2">
      <c r="F1030" s="409"/>
    </row>
    <row r="1031" spans="6:6" x14ac:dyDescent="0.2">
      <c r="F1031" s="409"/>
    </row>
    <row r="1032" spans="6:6" x14ac:dyDescent="0.2">
      <c r="F1032" s="409"/>
    </row>
    <row r="1033" spans="6:6" x14ac:dyDescent="0.2">
      <c r="F1033" s="409"/>
    </row>
    <row r="1034" spans="6:6" x14ac:dyDescent="0.2">
      <c r="F1034" s="409"/>
    </row>
    <row r="1035" spans="6:6" x14ac:dyDescent="0.2">
      <c r="F1035" s="409"/>
    </row>
    <row r="1036" spans="6:6" x14ac:dyDescent="0.2">
      <c r="F1036" s="409"/>
    </row>
    <row r="1037" spans="6:6" x14ac:dyDescent="0.2">
      <c r="F1037" s="409"/>
    </row>
    <row r="1038" spans="6:6" x14ac:dyDescent="0.2">
      <c r="F1038" s="409"/>
    </row>
    <row r="1039" spans="6:6" x14ac:dyDescent="0.2">
      <c r="F1039" s="409"/>
    </row>
    <row r="1040" spans="6:6" x14ac:dyDescent="0.2">
      <c r="F1040" s="409"/>
    </row>
    <row r="1041" spans="6:6" x14ac:dyDescent="0.2">
      <c r="F1041" s="409"/>
    </row>
    <row r="1042" spans="6:6" x14ac:dyDescent="0.2">
      <c r="F1042" s="409"/>
    </row>
    <row r="1043" spans="6:6" x14ac:dyDescent="0.2">
      <c r="F1043" s="409"/>
    </row>
    <row r="1044" spans="6:6" x14ac:dyDescent="0.2">
      <c r="F1044" s="409"/>
    </row>
    <row r="1045" spans="6:6" x14ac:dyDescent="0.2">
      <c r="F1045" s="409"/>
    </row>
    <row r="1046" spans="6:6" x14ac:dyDescent="0.2">
      <c r="F1046" s="409"/>
    </row>
    <row r="1047" spans="6:6" x14ac:dyDescent="0.2">
      <c r="F1047" s="409"/>
    </row>
    <row r="1048" spans="6:6" x14ac:dyDescent="0.2">
      <c r="F1048" s="409"/>
    </row>
    <row r="1049" spans="6:6" x14ac:dyDescent="0.2">
      <c r="F1049" s="409"/>
    </row>
    <row r="1050" spans="6:6" x14ac:dyDescent="0.2">
      <c r="F1050" s="409"/>
    </row>
    <row r="1051" spans="6:6" x14ac:dyDescent="0.2">
      <c r="F1051" s="409"/>
    </row>
    <row r="1052" spans="6:6" x14ac:dyDescent="0.2">
      <c r="F1052" s="409"/>
    </row>
    <row r="1053" spans="6:6" x14ac:dyDescent="0.2">
      <c r="F1053" s="409"/>
    </row>
    <row r="1054" spans="6:6" x14ac:dyDescent="0.2">
      <c r="F1054" s="409"/>
    </row>
    <row r="1055" spans="6:6" x14ac:dyDescent="0.2">
      <c r="F1055" s="409"/>
    </row>
    <row r="1056" spans="6:6" x14ac:dyDescent="0.2">
      <c r="F1056" s="409"/>
    </row>
    <row r="1057" spans="6:6" x14ac:dyDescent="0.2">
      <c r="F1057" s="409"/>
    </row>
    <row r="1058" spans="6:6" x14ac:dyDescent="0.2">
      <c r="F1058" s="409"/>
    </row>
    <row r="1059" spans="6:6" x14ac:dyDescent="0.2">
      <c r="F1059" s="409"/>
    </row>
    <row r="1060" spans="6:6" x14ac:dyDescent="0.2">
      <c r="F1060" s="409"/>
    </row>
    <row r="1061" spans="6:6" x14ac:dyDescent="0.2">
      <c r="F1061" s="409"/>
    </row>
    <row r="1062" spans="6:6" x14ac:dyDescent="0.2">
      <c r="F1062" s="409"/>
    </row>
    <row r="1063" spans="6:6" x14ac:dyDescent="0.2">
      <c r="F1063" s="409"/>
    </row>
    <row r="1064" spans="6:6" x14ac:dyDescent="0.2">
      <c r="F1064" s="409"/>
    </row>
    <row r="1065" spans="6:6" x14ac:dyDescent="0.2">
      <c r="F1065" s="409"/>
    </row>
    <row r="1066" spans="6:6" x14ac:dyDescent="0.2">
      <c r="F1066" s="409"/>
    </row>
    <row r="1067" spans="6:6" x14ac:dyDescent="0.2">
      <c r="F1067" s="409"/>
    </row>
    <row r="1068" spans="6:6" x14ac:dyDescent="0.2">
      <c r="F1068" s="409"/>
    </row>
    <row r="1069" spans="6:6" x14ac:dyDescent="0.2">
      <c r="F1069" s="409"/>
    </row>
    <row r="1070" spans="6:6" x14ac:dyDescent="0.2">
      <c r="F1070" s="409"/>
    </row>
    <row r="1071" spans="6:6" x14ac:dyDescent="0.2">
      <c r="F1071" s="409"/>
    </row>
    <row r="1072" spans="6:6" x14ac:dyDescent="0.2">
      <c r="F1072" s="409"/>
    </row>
    <row r="1073" spans="6:6" x14ac:dyDescent="0.2">
      <c r="F1073" s="409"/>
    </row>
    <row r="1074" spans="6:6" x14ac:dyDescent="0.2">
      <c r="F1074" s="409"/>
    </row>
    <row r="1075" spans="6:6" x14ac:dyDescent="0.2">
      <c r="F1075" s="409"/>
    </row>
    <row r="1076" spans="6:6" x14ac:dyDescent="0.2">
      <c r="F1076" s="409"/>
    </row>
    <row r="1077" spans="6:6" x14ac:dyDescent="0.2">
      <c r="F1077" s="409"/>
    </row>
    <row r="1078" spans="6:6" x14ac:dyDescent="0.2">
      <c r="F1078" s="409"/>
    </row>
    <row r="1079" spans="6:6" x14ac:dyDescent="0.2">
      <c r="F1079" s="409"/>
    </row>
    <row r="1080" spans="6:6" x14ac:dyDescent="0.2">
      <c r="F1080" s="409"/>
    </row>
    <row r="1081" spans="6:6" x14ac:dyDescent="0.2">
      <c r="F1081" s="409"/>
    </row>
    <row r="1082" spans="6:6" x14ac:dyDescent="0.2">
      <c r="F1082" s="409"/>
    </row>
    <row r="1083" spans="6:6" x14ac:dyDescent="0.2">
      <c r="F1083" s="409"/>
    </row>
    <row r="1084" spans="6:6" x14ac:dyDescent="0.2">
      <c r="F1084" s="409"/>
    </row>
    <row r="1085" spans="6:6" x14ac:dyDescent="0.2">
      <c r="F1085" s="409"/>
    </row>
    <row r="1086" spans="6:6" x14ac:dyDescent="0.2">
      <c r="F1086" s="409"/>
    </row>
    <row r="1087" spans="6:6" x14ac:dyDescent="0.2">
      <c r="F1087" s="409"/>
    </row>
    <row r="1088" spans="6:6" x14ac:dyDescent="0.2">
      <c r="F1088" s="409"/>
    </row>
    <row r="1089" spans="6:6" x14ac:dyDescent="0.2">
      <c r="F1089" s="409"/>
    </row>
    <row r="1090" spans="6:6" x14ac:dyDescent="0.2">
      <c r="F1090" s="409"/>
    </row>
    <row r="1091" spans="6:6" x14ac:dyDescent="0.2">
      <c r="F1091" s="409"/>
    </row>
    <row r="1092" spans="6:6" x14ac:dyDescent="0.2">
      <c r="F1092" s="409"/>
    </row>
    <row r="1093" spans="6:6" x14ac:dyDescent="0.2">
      <c r="F1093" s="409"/>
    </row>
    <row r="1094" spans="6:6" x14ac:dyDescent="0.2">
      <c r="F1094" s="409"/>
    </row>
    <row r="1095" spans="6:6" x14ac:dyDescent="0.2">
      <c r="F1095" s="409"/>
    </row>
    <row r="1096" spans="6:6" x14ac:dyDescent="0.2">
      <c r="F1096" s="409"/>
    </row>
    <row r="1097" spans="6:6" x14ac:dyDescent="0.2">
      <c r="F1097" s="409"/>
    </row>
    <row r="1098" spans="6:6" x14ac:dyDescent="0.2">
      <c r="F1098" s="409"/>
    </row>
    <row r="1099" spans="6:6" x14ac:dyDescent="0.2">
      <c r="F1099" s="409"/>
    </row>
    <row r="1100" spans="6:6" x14ac:dyDescent="0.2">
      <c r="F1100" s="409"/>
    </row>
    <row r="1101" spans="6:6" x14ac:dyDescent="0.2">
      <c r="F1101" s="409"/>
    </row>
    <row r="1102" spans="6:6" x14ac:dyDescent="0.2">
      <c r="F1102" s="409"/>
    </row>
    <row r="1103" spans="6:6" x14ac:dyDescent="0.2">
      <c r="F1103" s="409"/>
    </row>
    <row r="1104" spans="6:6" x14ac:dyDescent="0.2">
      <c r="F1104" s="409"/>
    </row>
    <row r="1105" spans="6:6" x14ac:dyDescent="0.2">
      <c r="F1105" s="409"/>
    </row>
    <row r="1106" spans="6:6" x14ac:dyDescent="0.2">
      <c r="F1106" s="409"/>
    </row>
    <row r="1107" spans="6:6" x14ac:dyDescent="0.2">
      <c r="F1107" s="409"/>
    </row>
    <row r="1108" spans="6:6" x14ac:dyDescent="0.2">
      <c r="F1108" s="409"/>
    </row>
    <row r="1109" spans="6:6" x14ac:dyDescent="0.2">
      <c r="F1109" s="409"/>
    </row>
    <row r="1110" spans="6:6" x14ac:dyDescent="0.2">
      <c r="F1110" s="409"/>
    </row>
    <row r="1111" spans="6:6" x14ac:dyDescent="0.2">
      <c r="F1111" s="409"/>
    </row>
    <row r="1112" spans="6:6" x14ac:dyDescent="0.2">
      <c r="F1112" s="409"/>
    </row>
    <row r="1113" spans="6:6" x14ac:dyDescent="0.2">
      <c r="F1113" s="409"/>
    </row>
    <row r="1114" spans="6:6" x14ac:dyDescent="0.2">
      <c r="F1114" s="409"/>
    </row>
    <row r="1115" spans="6:6" x14ac:dyDescent="0.2">
      <c r="F1115" s="409"/>
    </row>
    <row r="1116" spans="6:6" x14ac:dyDescent="0.2">
      <c r="F1116" s="409"/>
    </row>
    <row r="1117" spans="6:6" x14ac:dyDescent="0.2">
      <c r="F1117" s="409"/>
    </row>
    <row r="1118" spans="6:6" x14ac:dyDescent="0.2">
      <c r="F1118" s="409"/>
    </row>
    <row r="1119" spans="6:6" x14ac:dyDescent="0.2">
      <c r="F1119" s="409"/>
    </row>
    <row r="1120" spans="6:6" x14ac:dyDescent="0.2">
      <c r="F1120" s="409"/>
    </row>
    <row r="1121" spans="6:6" x14ac:dyDescent="0.2">
      <c r="F1121" s="409"/>
    </row>
    <row r="1122" spans="6:6" x14ac:dyDescent="0.2">
      <c r="F1122" s="409"/>
    </row>
    <row r="1123" spans="6:6" x14ac:dyDescent="0.2">
      <c r="F1123" s="409"/>
    </row>
    <row r="1124" spans="6:6" x14ac:dyDescent="0.2">
      <c r="F1124" s="409"/>
    </row>
    <row r="1125" spans="6:6" x14ac:dyDescent="0.2">
      <c r="F1125" s="409"/>
    </row>
    <row r="1126" spans="6:6" x14ac:dyDescent="0.2">
      <c r="F1126" s="409"/>
    </row>
    <row r="1127" spans="6:6" x14ac:dyDescent="0.2">
      <c r="F1127" s="409"/>
    </row>
    <row r="1128" spans="6:6" x14ac:dyDescent="0.2">
      <c r="F1128" s="409"/>
    </row>
    <row r="1129" spans="6:6" x14ac:dyDescent="0.2">
      <c r="F1129" s="409"/>
    </row>
    <row r="1130" spans="6:6" x14ac:dyDescent="0.2">
      <c r="F1130" s="409"/>
    </row>
    <row r="1131" spans="6:6" x14ac:dyDescent="0.2">
      <c r="F1131" s="409"/>
    </row>
    <row r="1132" spans="6:6" x14ac:dyDescent="0.2">
      <c r="F1132" s="409"/>
    </row>
    <row r="1133" spans="6:6" x14ac:dyDescent="0.2">
      <c r="F1133" s="409"/>
    </row>
    <row r="1134" spans="6:6" x14ac:dyDescent="0.2">
      <c r="F1134" s="409"/>
    </row>
    <row r="1135" spans="6:6" x14ac:dyDescent="0.2">
      <c r="F1135" s="409"/>
    </row>
    <row r="1136" spans="6:6" x14ac:dyDescent="0.2">
      <c r="F1136" s="409"/>
    </row>
    <row r="1137" spans="6:6" x14ac:dyDescent="0.2">
      <c r="F1137" s="409"/>
    </row>
    <row r="1138" spans="6:6" x14ac:dyDescent="0.2">
      <c r="F1138" s="409"/>
    </row>
    <row r="1139" spans="6:6" x14ac:dyDescent="0.2">
      <c r="F1139" s="409"/>
    </row>
    <row r="1140" spans="6:6" x14ac:dyDescent="0.2">
      <c r="F1140" s="409"/>
    </row>
    <row r="1141" spans="6:6" x14ac:dyDescent="0.2">
      <c r="F1141" s="409"/>
    </row>
    <row r="1142" spans="6:6" x14ac:dyDescent="0.2">
      <c r="F1142" s="409"/>
    </row>
    <row r="1143" spans="6:6" x14ac:dyDescent="0.2">
      <c r="F1143" s="409"/>
    </row>
    <row r="1144" spans="6:6" x14ac:dyDescent="0.2">
      <c r="F1144" s="409"/>
    </row>
    <row r="1145" spans="6:6" x14ac:dyDescent="0.2">
      <c r="F1145" s="409"/>
    </row>
    <row r="1146" spans="6:6" x14ac:dyDescent="0.2">
      <c r="F1146" s="409"/>
    </row>
    <row r="1147" spans="6:6" x14ac:dyDescent="0.2">
      <c r="F1147" s="409"/>
    </row>
    <row r="1148" spans="6:6" x14ac:dyDescent="0.2">
      <c r="F1148" s="409"/>
    </row>
    <row r="1149" spans="6:6" x14ac:dyDescent="0.2">
      <c r="F1149" s="409"/>
    </row>
    <row r="1150" spans="6:6" x14ac:dyDescent="0.2">
      <c r="F1150" s="409"/>
    </row>
    <row r="1151" spans="6:6" x14ac:dyDescent="0.2">
      <c r="F1151" s="409"/>
    </row>
    <row r="1152" spans="6:6" x14ac:dyDescent="0.2">
      <c r="F1152" s="409"/>
    </row>
    <row r="1153" spans="6:6" x14ac:dyDescent="0.2">
      <c r="F1153" s="409"/>
    </row>
    <row r="1154" spans="6:6" x14ac:dyDescent="0.2">
      <c r="F1154" s="409"/>
    </row>
    <row r="1155" spans="6:6" x14ac:dyDescent="0.2">
      <c r="F1155" s="409"/>
    </row>
    <row r="1156" spans="6:6" x14ac:dyDescent="0.2">
      <c r="F1156" s="409"/>
    </row>
    <row r="1157" spans="6:6" x14ac:dyDescent="0.2">
      <c r="F1157" s="409"/>
    </row>
    <row r="1158" spans="6:6" x14ac:dyDescent="0.2">
      <c r="F1158" s="409"/>
    </row>
    <row r="1159" spans="6:6" x14ac:dyDescent="0.2">
      <c r="F1159" s="409"/>
    </row>
    <row r="1160" spans="6:6" x14ac:dyDescent="0.2">
      <c r="F1160" s="409"/>
    </row>
    <row r="1161" spans="6:6" x14ac:dyDescent="0.2">
      <c r="F1161" s="409"/>
    </row>
    <row r="1162" spans="6:6" x14ac:dyDescent="0.2">
      <c r="F1162" s="409"/>
    </row>
    <row r="1163" spans="6:6" x14ac:dyDescent="0.2">
      <c r="F1163" s="409"/>
    </row>
    <row r="1164" spans="6:6" x14ac:dyDescent="0.2">
      <c r="F1164" s="409"/>
    </row>
    <row r="1165" spans="6:6" x14ac:dyDescent="0.2">
      <c r="F1165" s="409"/>
    </row>
    <row r="1166" spans="6:6" x14ac:dyDescent="0.2">
      <c r="F1166" s="409"/>
    </row>
    <row r="1167" spans="6:6" x14ac:dyDescent="0.2">
      <c r="F1167" s="409"/>
    </row>
    <row r="1168" spans="6:6" x14ac:dyDescent="0.2">
      <c r="F1168" s="409"/>
    </row>
    <row r="1169" spans="6:6" x14ac:dyDescent="0.2">
      <c r="F1169" s="409"/>
    </row>
    <row r="1170" spans="6:6" x14ac:dyDescent="0.2">
      <c r="F1170" s="409"/>
    </row>
    <row r="1171" spans="6:6" x14ac:dyDescent="0.2">
      <c r="F1171" s="409"/>
    </row>
    <row r="1172" spans="6:6" x14ac:dyDescent="0.2">
      <c r="F1172" s="409"/>
    </row>
    <row r="1173" spans="6:6" x14ac:dyDescent="0.2">
      <c r="F1173" s="409"/>
    </row>
    <row r="1174" spans="6:6" x14ac:dyDescent="0.2">
      <c r="F1174" s="409"/>
    </row>
    <row r="1175" spans="6:6" x14ac:dyDescent="0.2">
      <c r="F1175" s="409"/>
    </row>
    <row r="1176" spans="6:6" x14ac:dyDescent="0.2">
      <c r="F1176" s="409"/>
    </row>
    <row r="1177" spans="6:6" x14ac:dyDescent="0.2">
      <c r="F1177" s="409"/>
    </row>
    <row r="1178" spans="6:6" x14ac:dyDescent="0.2">
      <c r="F1178" s="409"/>
    </row>
    <row r="1179" spans="6:6" x14ac:dyDescent="0.2">
      <c r="F1179" s="409"/>
    </row>
    <row r="1180" spans="6:6" x14ac:dyDescent="0.2">
      <c r="F1180" s="409"/>
    </row>
    <row r="1181" spans="6:6" x14ac:dyDescent="0.2">
      <c r="F1181" s="409"/>
    </row>
    <row r="1182" spans="6:6" x14ac:dyDescent="0.2">
      <c r="F1182" s="409"/>
    </row>
    <row r="1183" spans="6:6" x14ac:dyDescent="0.2">
      <c r="F1183" s="409"/>
    </row>
    <row r="1184" spans="6:6" x14ac:dyDescent="0.2">
      <c r="F1184" s="409"/>
    </row>
    <row r="1185" spans="6:6" x14ac:dyDescent="0.2">
      <c r="F1185" s="409"/>
    </row>
    <row r="1186" spans="6:6" x14ac:dyDescent="0.2">
      <c r="F1186" s="409"/>
    </row>
    <row r="1187" spans="6:6" x14ac:dyDescent="0.2">
      <c r="F1187" s="409"/>
    </row>
    <row r="1188" spans="6:6" x14ac:dyDescent="0.2">
      <c r="F1188" s="409"/>
    </row>
    <row r="1189" spans="6:6" x14ac:dyDescent="0.2">
      <c r="F1189" s="409"/>
    </row>
    <row r="1190" spans="6:6" x14ac:dyDescent="0.2">
      <c r="F1190" s="409"/>
    </row>
    <row r="1191" spans="6:6" x14ac:dyDescent="0.2">
      <c r="F1191" s="409"/>
    </row>
    <row r="1192" spans="6:6" x14ac:dyDescent="0.2">
      <c r="F1192" s="409"/>
    </row>
    <row r="1193" spans="6:6" x14ac:dyDescent="0.2">
      <c r="F1193" s="409"/>
    </row>
    <row r="1194" spans="6:6" x14ac:dyDescent="0.2">
      <c r="F1194" s="409"/>
    </row>
    <row r="1195" spans="6:6" x14ac:dyDescent="0.2">
      <c r="F1195" s="409"/>
    </row>
    <row r="1196" spans="6:6" x14ac:dyDescent="0.2">
      <c r="F1196" s="409"/>
    </row>
    <row r="1197" spans="6:6" x14ac:dyDescent="0.2">
      <c r="F1197" s="409"/>
    </row>
    <row r="1198" spans="6:6" x14ac:dyDescent="0.2">
      <c r="F1198" s="409"/>
    </row>
    <row r="1199" spans="6:6" x14ac:dyDescent="0.2">
      <c r="F1199" s="409"/>
    </row>
    <row r="1200" spans="6:6" x14ac:dyDescent="0.2">
      <c r="F1200" s="409"/>
    </row>
    <row r="1201" spans="6:6" x14ac:dyDescent="0.2">
      <c r="F1201" s="409"/>
    </row>
    <row r="1202" spans="6:6" x14ac:dyDescent="0.2">
      <c r="F1202" s="409"/>
    </row>
    <row r="1203" spans="6:6" x14ac:dyDescent="0.2">
      <c r="F1203" s="409"/>
    </row>
    <row r="1204" spans="6:6" x14ac:dyDescent="0.2">
      <c r="F1204" s="409"/>
    </row>
    <row r="1205" spans="6:6" x14ac:dyDescent="0.2">
      <c r="F1205" s="409"/>
    </row>
  </sheetData>
  <mergeCells count="13">
    <mergeCell ref="A261:B261"/>
    <mergeCell ref="A264:B264"/>
    <mergeCell ref="D5:G5"/>
    <mergeCell ref="H5:J5"/>
    <mergeCell ref="A3:J3"/>
    <mergeCell ref="A4:J4"/>
    <mergeCell ref="A7:B7"/>
    <mergeCell ref="A2:B2"/>
    <mergeCell ref="A5:A6"/>
    <mergeCell ref="B5:B6"/>
    <mergeCell ref="C5:C6"/>
    <mergeCell ref="A259:B259"/>
    <mergeCell ref="A98:B98"/>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rowBreaks count="2" manualBreakCount="2">
    <brk id="21" max="9" man="1"/>
    <brk id="20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tint="0.79998168889431442"/>
  </sheetPr>
  <dimension ref="A2:L92"/>
  <sheetViews>
    <sheetView view="pageBreakPreview" zoomScale="60" zoomScaleNormal="100" workbookViewId="0">
      <selection activeCell="J51" sqref="E7:J51"/>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2" ht="18" customHeight="1" x14ac:dyDescent="0.2">
      <c r="A2" s="983" t="s">
        <v>20</v>
      </c>
      <c r="B2" s="983"/>
      <c r="C2" s="1"/>
      <c r="D2" s="150"/>
      <c r="E2" s="269"/>
      <c r="F2" s="150"/>
      <c r="G2" s="150"/>
      <c r="H2" s="271"/>
      <c r="I2" s="271"/>
      <c r="J2" s="2"/>
    </row>
    <row r="3" spans="1:12" ht="27" customHeight="1" x14ac:dyDescent="0.2">
      <c r="A3" s="987" t="s">
        <v>9</v>
      </c>
      <c r="B3" s="988"/>
      <c r="C3" s="988"/>
      <c r="D3" s="988"/>
      <c r="E3" s="988"/>
      <c r="F3" s="988"/>
      <c r="G3" s="988"/>
      <c r="H3" s="988"/>
      <c r="I3" s="988"/>
      <c r="J3" s="989"/>
    </row>
    <row r="4" spans="1:12" ht="25.5" customHeight="1" x14ac:dyDescent="0.2">
      <c r="A4" s="987" t="s">
        <v>11</v>
      </c>
      <c r="B4" s="988"/>
      <c r="C4" s="988"/>
      <c r="D4" s="988"/>
      <c r="E4" s="988"/>
      <c r="F4" s="988"/>
      <c r="G4" s="988"/>
      <c r="H4" s="988"/>
      <c r="I4" s="988"/>
      <c r="J4" s="989"/>
    </row>
    <row r="5" spans="1:12" ht="13.5" customHeight="1" x14ac:dyDescent="0.2">
      <c r="A5" s="1007" t="s">
        <v>0</v>
      </c>
      <c r="B5" s="1007" t="s">
        <v>1</v>
      </c>
      <c r="C5" s="984" t="s">
        <v>2</v>
      </c>
      <c r="D5" s="990" t="s">
        <v>1440</v>
      </c>
      <c r="E5" s="990"/>
      <c r="F5" s="990"/>
      <c r="G5" s="990"/>
      <c r="H5" s="990" t="s">
        <v>1441</v>
      </c>
      <c r="I5" s="990"/>
      <c r="J5" s="990"/>
    </row>
    <row r="6" spans="1:12" ht="24.75" customHeight="1" x14ac:dyDescent="0.2">
      <c r="A6" s="1008"/>
      <c r="B6" s="1008"/>
      <c r="C6" s="984"/>
      <c r="D6" s="4" t="s">
        <v>3</v>
      </c>
      <c r="E6" s="4" t="s">
        <v>4</v>
      </c>
      <c r="F6" s="270" t="s">
        <v>1298</v>
      </c>
      <c r="G6" s="270" t="s">
        <v>1439</v>
      </c>
      <c r="H6" s="4" t="s">
        <v>1297</v>
      </c>
      <c r="I6" s="270" t="s">
        <v>1298</v>
      </c>
      <c r="J6" s="270" t="s">
        <v>1439</v>
      </c>
    </row>
    <row r="7" spans="1:12" ht="25.5" customHeight="1" x14ac:dyDescent="0.2">
      <c r="A7" s="1009" t="s">
        <v>422</v>
      </c>
      <c r="B7" s="1015"/>
      <c r="C7" s="52"/>
      <c r="D7" s="52"/>
      <c r="E7" s="885"/>
      <c r="F7" s="81"/>
      <c r="G7" s="333"/>
      <c r="H7" s="67">
        <f>+H8+H15+H21</f>
        <v>396510</v>
      </c>
      <c r="I7" s="81">
        <f>+I8+I15+I21</f>
        <v>396508</v>
      </c>
      <c r="J7" s="331">
        <f>I7/H7*100</f>
        <v>99.999495599102161</v>
      </c>
    </row>
    <row r="8" spans="1:12" ht="18.75" customHeight="1" x14ac:dyDescent="0.2">
      <c r="A8" s="18"/>
      <c r="B8" s="55" t="s">
        <v>423</v>
      </c>
      <c r="C8" s="53"/>
      <c r="D8" s="168"/>
      <c r="E8" s="486"/>
      <c r="F8" s="886"/>
      <c r="G8" s="886"/>
      <c r="H8" s="327">
        <f>SUM(H9:H14)</f>
        <v>121924</v>
      </c>
      <c r="I8" s="328">
        <f>SUM(I9:I14)</f>
        <v>121924</v>
      </c>
      <c r="J8" s="502">
        <f t="shared" ref="J8:J28" si="0">+I8/H8*100</f>
        <v>100</v>
      </c>
      <c r="L8" s="93"/>
    </row>
    <row r="9" spans="1:12" ht="18.75" customHeight="1" x14ac:dyDescent="0.2">
      <c r="A9" s="43">
        <v>1</v>
      </c>
      <c r="B9" s="19" t="s">
        <v>424</v>
      </c>
      <c r="C9" s="164" t="s">
        <v>40</v>
      </c>
      <c r="D9" s="154" t="s">
        <v>431</v>
      </c>
      <c r="E9" s="38">
        <v>20</v>
      </c>
      <c r="F9" s="887">
        <v>20</v>
      </c>
      <c r="G9" s="329">
        <f>+F9/E9*100</f>
        <v>100</v>
      </c>
      <c r="H9" s="38">
        <v>19454</v>
      </c>
      <c r="I9" s="38">
        <v>20662</v>
      </c>
      <c r="J9" s="329">
        <f>+I9/H9*100</f>
        <v>106.20951989308112</v>
      </c>
    </row>
    <row r="10" spans="1:12" ht="25.5" customHeight="1" x14ac:dyDescent="0.2">
      <c r="A10" s="43">
        <v>2</v>
      </c>
      <c r="B10" s="19" t="s">
        <v>1680</v>
      </c>
      <c r="C10" s="164" t="s">
        <v>40</v>
      </c>
      <c r="D10" s="154" t="s">
        <v>431</v>
      </c>
      <c r="E10" s="38">
        <v>6</v>
      </c>
      <c r="F10" s="887">
        <v>5</v>
      </c>
      <c r="G10" s="329">
        <f t="shared" ref="G10:G27" si="1">+F10/E10*100</f>
        <v>83.333333333333343</v>
      </c>
      <c r="H10" s="38">
        <v>20494</v>
      </c>
      <c r="I10" s="38">
        <v>20494</v>
      </c>
      <c r="J10" s="329">
        <f t="shared" si="0"/>
        <v>100</v>
      </c>
      <c r="L10" s="93"/>
    </row>
    <row r="11" spans="1:12" ht="18.75" customHeight="1" x14ac:dyDescent="0.2">
      <c r="A11" s="43">
        <v>3</v>
      </c>
      <c r="B11" s="19" t="s">
        <v>425</v>
      </c>
      <c r="C11" s="164" t="s">
        <v>40</v>
      </c>
      <c r="D11" s="154" t="s">
        <v>431</v>
      </c>
      <c r="E11" s="38">
        <v>6</v>
      </c>
      <c r="F11" s="887">
        <v>9</v>
      </c>
      <c r="G11" s="329">
        <f t="shared" si="1"/>
        <v>150</v>
      </c>
      <c r="H11" s="38">
        <v>20494</v>
      </c>
      <c r="I11" s="38">
        <v>20494</v>
      </c>
      <c r="J11" s="329">
        <f t="shared" si="0"/>
        <v>100</v>
      </c>
      <c r="L11" s="90"/>
    </row>
    <row r="12" spans="1:12" ht="18.75" customHeight="1" x14ac:dyDescent="0.2">
      <c r="A12" s="43">
        <v>4</v>
      </c>
      <c r="B12" s="19" t="s">
        <v>426</v>
      </c>
      <c r="C12" s="164" t="s">
        <v>40</v>
      </c>
      <c r="D12" s="154" t="s">
        <v>431</v>
      </c>
      <c r="E12" s="38">
        <v>7</v>
      </c>
      <c r="F12" s="887">
        <v>10</v>
      </c>
      <c r="G12" s="329">
        <f t="shared" si="1"/>
        <v>142.85714285714286</v>
      </c>
      <c r="H12" s="38">
        <v>20494</v>
      </c>
      <c r="I12" s="38">
        <v>20494</v>
      </c>
      <c r="J12" s="329">
        <f t="shared" si="0"/>
        <v>100</v>
      </c>
    </row>
    <row r="13" spans="1:12" ht="25.5" customHeight="1" x14ac:dyDescent="0.2">
      <c r="A13" s="43">
        <v>5</v>
      </c>
      <c r="B13" s="19" t="s">
        <v>427</v>
      </c>
      <c r="C13" s="164" t="s">
        <v>40</v>
      </c>
      <c r="D13" s="154" t="s">
        <v>431</v>
      </c>
      <c r="E13" s="38">
        <v>4</v>
      </c>
      <c r="F13" s="887">
        <v>4</v>
      </c>
      <c r="G13" s="329">
        <f t="shared" si="1"/>
        <v>100</v>
      </c>
      <c r="H13" s="38">
        <v>20494</v>
      </c>
      <c r="I13" s="38">
        <v>20494</v>
      </c>
      <c r="J13" s="329">
        <f t="shared" si="0"/>
        <v>100</v>
      </c>
    </row>
    <row r="14" spans="1:12" ht="40.5" customHeight="1" x14ac:dyDescent="0.2">
      <c r="A14" s="43">
        <v>6</v>
      </c>
      <c r="B14" s="19" t="s">
        <v>428</v>
      </c>
      <c r="C14" s="164" t="s">
        <v>40</v>
      </c>
      <c r="D14" s="154" t="s">
        <v>431</v>
      </c>
      <c r="E14" s="38">
        <v>6</v>
      </c>
      <c r="F14" s="887">
        <v>9</v>
      </c>
      <c r="G14" s="329">
        <f t="shared" si="1"/>
        <v>150</v>
      </c>
      <c r="H14" s="38">
        <v>20494</v>
      </c>
      <c r="I14" s="332">
        <v>19286</v>
      </c>
      <c r="J14" s="329">
        <f t="shared" si="0"/>
        <v>94.105591880550406</v>
      </c>
    </row>
    <row r="15" spans="1:12" ht="40.5" customHeight="1" x14ac:dyDescent="0.2">
      <c r="A15" s="54"/>
      <c r="B15" s="55" t="s">
        <v>429</v>
      </c>
      <c r="C15" s="164"/>
      <c r="D15" s="164"/>
      <c r="E15" s="636"/>
      <c r="F15" s="887"/>
      <c r="G15" s="330"/>
      <c r="H15" s="327">
        <f>SUM(H16:H20)</f>
        <v>89640</v>
      </c>
      <c r="I15" s="328">
        <f>SUM(I16:I20)</f>
        <v>89640</v>
      </c>
      <c r="J15" s="330">
        <f t="shared" si="0"/>
        <v>100</v>
      </c>
    </row>
    <row r="16" spans="1:12" ht="65.25" customHeight="1" x14ac:dyDescent="0.2">
      <c r="A16" s="43">
        <v>1</v>
      </c>
      <c r="B16" s="19" t="s">
        <v>430</v>
      </c>
      <c r="C16" s="164" t="s">
        <v>40</v>
      </c>
      <c r="D16" s="154" t="s">
        <v>431</v>
      </c>
      <c r="E16" s="38">
        <v>2</v>
      </c>
      <c r="F16" s="887">
        <v>2</v>
      </c>
      <c r="G16" s="329">
        <f t="shared" si="1"/>
        <v>100</v>
      </c>
      <c r="H16" s="38">
        <v>18928</v>
      </c>
      <c r="I16" s="38">
        <v>18928</v>
      </c>
      <c r="J16" s="329">
        <f t="shared" si="0"/>
        <v>100</v>
      </c>
    </row>
    <row r="17" spans="1:10" ht="27" customHeight="1" x14ac:dyDescent="0.2">
      <c r="A17" s="43">
        <v>2</v>
      </c>
      <c r="B17" s="19" t="s">
        <v>432</v>
      </c>
      <c r="C17" s="164" t="s">
        <v>40</v>
      </c>
      <c r="D17" s="154" t="s">
        <v>431</v>
      </c>
      <c r="E17" s="38">
        <v>5</v>
      </c>
      <c r="F17" s="887">
        <v>5</v>
      </c>
      <c r="G17" s="329">
        <f t="shared" si="1"/>
        <v>100</v>
      </c>
      <c r="H17" s="38">
        <v>17928</v>
      </c>
      <c r="I17" s="38">
        <v>17928</v>
      </c>
      <c r="J17" s="329">
        <f t="shared" si="0"/>
        <v>100</v>
      </c>
    </row>
    <row r="18" spans="1:10" ht="18.75" customHeight="1" x14ac:dyDescent="0.2">
      <c r="A18" s="43">
        <v>3</v>
      </c>
      <c r="B18" s="19" t="s">
        <v>1681</v>
      </c>
      <c r="C18" s="164" t="s">
        <v>40</v>
      </c>
      <c r="D18" s="154" t="s">
        <v>431</v>
      </c>
      <c r="E18" s="38">
        <v>16</v>
      </c>
      <c r="F18" s="887">
        <v>15</v>
      </c>
      <c r="G18" s="329">
        <f t="shared" si="1"/>
        <v>93.75</v>
      </c>
      <c r="H18" s="38">
        <v>17928</v>
      </c>
      <c r="I18" s="38">
        <v>17928</v>
      </c>
      <c r="J18" s="329">
        <f t="shared" si="0"/>
        <v>100</v>
      </c>
    </row>
    <row r="19" spans="1:10" ht="27.75" customHeight="1" x14ac:dyDescent="0.2">
      <c r="A19" s="43">
        <v>4</v>
      </c>
      <c r="B19" s="19" t="s">
        <v>1682</v>
      </c>
      <c r="C19" s="164" t="s">
        <v>40</v>
      </c>
      <c r="D19" s="154" t="s">
        <v>431</v>
      </c>
      <c r="E19" s="38">
        <v>12</v>
      </c>
      <c r="F19" s="887">
        <v>9</v>
      </c>
      <c r="G19" s="329">
        <f t="shared" si="1"/>
        <v>75</v>
      </c>
      <c r="H19" s="38">
        <v>17928</v>
      </c>
      <c r="I19" s="38">
        <v>17928</v>
      </c>
      <c r="J19" s="329">
        <f t="shared" si="0"/>
        <v>100</v>
      </c>
    </row>
    <row r="20" spans="1:10" ht="30.75" customHeight="1" x14ac:dyDescent="0.2">
      <c r="A20" s="43">
        <v>5</v>
      </c>
      <c r="B20" s="19" t="s">
        <v>1683</v>
      </c>
      <c r="C20" s="164" t="s">
        <v>40</v>
      </c>
      <c r="D20" s="154" t="s">
        <v>431</v>
      </c>
      <c r="E20" s="38">
        <v>2</v>
      </c>
      <c r="F20" s="887">
        <v>4</v>
      </c>
      <c r="G20" s="329">
        <f t="shared" si="1"/>
        <v>200</v>
      </c>
      <c r="H20" s="38">
        <v>16928</v>
      </c>
      <c r="I20" s="38">
        <v>16928</v>
      </c>
      <c r="J20" s="329">
        <f t="shared" si="0"/>
        <v>100</v>
      </c>
    </row>
    <row r="21" spans="1:10" ht="18.75" customHeight="1" x14ac:dyDescent="0.2">
      <c r="A21" s="54"/>
      <c r="B21" s="55" t="s">
        <v>433</v>
      </c>
      <c r="C21" s="164"/>
      <c r="D21" s="164"/>
      <c r="E21" s="636"/>
      <c r="F21" s="887"/>
      <c r="G21" s="330"/>
      <c r="H21" s="327">
        <f>SUM(H22:H25)</f>
        <v>184946</v>
      </c>
      <c r="I21" s="328">
        <f>SUM(I22:I25)</f>
        <v>184944</v>
      </c>
      <c r="J21" s="502">
        <f t="shared" si="0"/>
        <v>99.998918603267981</v>
      </c>
    </row>
    <row r="22" spans="1:10" ht="26.25" customHeight="1" x14ac:dyDescent="0.2">
      <c r="A22" s="43">
        <v>1</v>
      </c>
      <c r="B22" s="19" t="s">
        <v>1684</v>
      </c>
      <c r="C22" s="164" t="s">
        <v>46</v>
      </c>
      <c r="D22" s="607" t="s">
        <v>434</v>
      </c>
      <c r="E22" s="38">
        <v>60</v>
      </c>
      <c r="F22" s="887">
        <v>60</v>
      </c>
      <c r="G22" s="329">
        <f t="shared" si="1"/>
        <v>100</v>
      </c>
      <c r="H22" s="38">
        <v>132804</v>
      </c>
      <c r="I22" s="277">
        <v>137804</v>
      </c>
      <c r="J22" s="329">
        <f t="shared" si="0"/>
        <v>103.76494683895064</v>
      </c>
    </row>
    <row r="23" spans="1:10" ht="25.5" customHeight="1" x14ac:dyDescent="0.2">
      <c r="A23" s="43">
        <v>2</v>
      </c>
      <c r="B23" s="19" t="s">
        <v>435</v>
      </c>
      <c r="C23" s="164" t="s">
        <v>46</v>
      </c>
      <c r="D23" s="607" t="s">
        <v>436</v>
      </c>
      <c r="E23" s="38">
        <v>150</v>
      </c>
      <c r="F23" s="887">
        <v>185</v>
      </c>
      <c r="G23" s="329">
        <f t="shared" si="1"/>
        <v>123.33333333333334</v>
      </c>
      <c r="H23" s="38">
        <v>18286</v>
      </c>
      <c r="I23" s="332">
        <v>23286</v>
      </c>
      <c r="J23" s="329">
        <f t="shared" si="0"/>
        <v>127.34332276058187</v>
      </c>
    </row>
    <row r="24" spans="1:10" ht="27" customHeight="1" x14ac:dyDescent="0.2">
      <c r="A24" s="43">
        <v>3</v>
      </c>
      <c r="B24" s="19" t="s">
        <v>437</v>
      </c>
      <c r="C24" s="164" t="s">
        <v>40</v>
      </c>
      <c r="D24" s="607" t="s">
        <v>64</v>
      </c>
      <c r="E24" s="38">
        <v>4</v>
      </c>
      <c r="F24" s="887">
        <v>2</v>
      </c>
      <c r="G24" s="329">
        <f t="shared" si="1"/>
        <v>50</v>
      </c>
      <c r="H24" s="38">
        <v>16928</v>
      </c>
      <c r="I24" s="332">
        <v>23854</v>
      </c>
      <c r="J24" s="329">
        <f t="shared" si="0"/>
        <v>140.91446124763704</v>
      </c>
    </row>
    <row r="25" spans="1:10" ht="18.75" customHeight="1" x14ac:dyDescent="0.2">
      <c r="A25" s="43">
        <v>4</v>
      </c>
      <c r="B25" s="19" t="s">
        <v>438</v>
      </c>
      <c r="C25" s="164" t="s">
        <v>40</v>
      </c>
      <c r="D25" s="607" t="s">
        <v>439</v>
      </c>
      <c r="E25" s="38">
        <v>2</v>
      </c>
      <c r="F25" s="887">
        <v>0</v>
      </c>
      <c r="G25" s="329">
        <f t="shared" si="1"/>
        <v>0</v>
      </c>
      <c r="H25" s="38">
        <v>16928</v>
      </c>
      <c r="I25" s="332">
        <v>0</v>
      </c>
      <c r="J25" s="329">
        <f t="shared" si="0"/>
        <v>0</v>
      </c>
    </row>
    <row r="26" spans="1:10" ht="18.75" customHeight="1" x14ac:dyDescent="0.2">
      <c r="A26" s="43"/>
      <c r="B26" s="598" t="s">
        <v>1270</v>
      </c>
      <c r="C26" s="164"/>
      <c r="D26" s="607"/>
      <c r="E26" s="38"/>
      <c r="F26" s="887"/>
      <c r="G26" s="329"/>
      <c r="H26" s="67">
        <f>+H27</f>
        <v>10000</v>
      </c>
      <c r="I26" s="81">
        <f>+I27</f>
        <v>10000</v>
      </c>
      <c r="J26" s="333">
        <f t="shared" si="0"/>
        <v>100</v>
      </c>
    </row>
    <row r="27" spans="1:10" ht="28.5" customHeight="1" x14ac:dyDescent="0.2">
      <c r="A27" s="43">
        <v>1</v>
      </c>
      <c r="B27" s="19" t="s">
        <v>2268</v>
      </c>
      <c r="C27" s="164" t="s">
        <v>1055</v>
      </c>
      <c r="D27" s="607"/>
      <c r="E27" s="38">
        <v>1</v>
      </c>
      <c r="F27" s="887">
        <v>1</v>
      </c>
      <c r="G27" s="329">
        <f t="shared" si="1"/>
        <v>100</v>
      </c>
      <c r="H27" s="38">
        <v>10000</v>
      </c>
      <c r="I27" s="332">
        <v>10000</v>
      </c>
      <c r="J27" s="329">
        <f t="shared" si="0"/>
        <v>100</v>
      </c>
    </row>
    <row r="28" spans="1:10" ht="23.25" customHeight="1" x14ac:dyDescent="0.2">
      <c r="A28" s="609" t="s">
        <v>1189</v>
      </c>
      <c r="B28" s="465"/>
      <c r="C28" s="610"/>
      <c r="D28" s="611"/>
      <c r="E28" s="888"/>
      <c r="F28" s="888"/>
      <c r="G28" s="888"/>
      <c r="H28" s="325">
        <f>SUM(H29:H49)</f>
        <v>37987505</v>
      </c>
      <c r="I28" s="320">
        <f>SUM(I29:I49)</f>
        <v>21742349.990000002</v>
      </c>
      <c r="J28" s="333">
        <f t="shared" si="0"/>
        <v>57.235530446129587</v>
      </c>
    </row>
    <row r="29" spans="1:10" ht="27" customHeight="1" x14ac:dyDescent="0.2">
      <c r="A29" s="960">
        <v>1</v>
      </c>
      <c r="B29" s="963" t="s">
        <v>1190</v>
      </c>
      <c r="C29" s="965" t="s">
        <v>630</v>
      </c>
      <c r="D29" s="164" t="s">
        <v>1191</v>
      </c>
      <c r="E29" s="847">
        <v>7.3357943999999993</v>
      </c>
      <c r="F29" s="847">
        <v>2.75</v>
      </c>
      <c r="G29" s="612">
        <f>+F29/E29*100</f>
        <v>37.487419222109061</v>
      </c>
      <c r="H29" s="967">
        <v>7778607</v>
      </c>
      <c r="I29" s="958">
        <v>7084990.1600000001</v>
      </c>
      <c r="J29" s="958">
        <f>+I29/H29*100</f>
        <v>91.083019877466498</v>
      </c>
    </row>
    <row r="30" spans="1:10" ht="26.25" customHeight="1" x14ac:dyDescent="0.2">
      <c r="A30" s="961"/>
      <c r="B30" s="964"/>
      <c r="C30" s="966"/>
      <c r="D30" s="164" t="s">
        <v>1192</v>
      </c>
      <c r="E30" s="847">
        <v>4.5992452999999998</v>
      </c>
      <c r="F30" s="847">
        <v>2.2999999999999998</v>
      </c>
      <c r="G30" s="612">
        <f t="shared" ref="G30:G51" si="2">+F30/E30*100</f>
        <v>50.008204606960192</v>
      </c>
      <c r="H30" s="968"/>
      <c r="I30" s="970"/>
      <c r="J30" s="970"/>
    </row>
    <row r="31" spans="1:10" ht="24" customHeight="1" x14ac:dyDescent="0.2">
      <c r="A31" s="961"/>
      <c r="B31" s="964"/>
      <c r="C31" s="966"/>
      <c r="D31" s="164" t="s">
        <v>1193</v>
      </c>
      <c r="E31" s="847">
        <v>624.34040000000005</v>
      </c>
      <c r="F31" s="847">
        <v>212</v>
      </c>
      <c r="G31" s="612">
        <f t="shared" si="2"/>
        <v>33.955835630691205</v>
      </c>
      <c r="H31" s="968"/>
      <c r="I31" s="970"/>
      <c r="J31" s="970"/>
    </row>
    <row r="32" spans="1:10" ht="21" customHeight="1" x14ac:dyDescent="0.2">
      <c r="A32" s="961"/>
      <c r="B32" s="964"/>
      <c r="C32" s="966"/>
      <c r="D32" s="183" t="s">
        <v>1194</v>
      </c>
      <c r="E32" s="847">
        <v>0</v>
      </c>
      <c r="F32" s="847">
        <v>0</v>
      </c>
      <c r="G32" s="612">
        <v>0</v>
      </c>
      <c r="H32" s="968"/>
      <c r="I32" s="970"/>
      <c r="J32" s="970"/>
    </row>
    <row r="33" spans="1:10" ht="26.25" customHeight="1" x14ac:dyDescent="0.2">
      <c r="A33" s="961"/>
      <c r="B33" s="964"/>
      <c r="C33" s="966"/>
      <c r="D33" s="164" t="s">
        <v>1195</v>
      </c>
      <c r="E33" s="847">
        <v>2.3682777000000002</v>
      </c>
      <c r="F33" s="847">
        <v>0.86</v>
      </c>
      <c r="G33" s="612">
        <f t="shared" si="2"/>
        <v>36.313309034662609</v>
      </c>
      <c r="H33" s="968"/>
      <c r="I33" s="970"/>
      <c r="J33" s="970"/>
    </row>
    <row r="34" spans="1:10" ht="18.75" customHeight="1" x14ac:dyDescent="0.2">
      <c r="A34" s="961"/>
      <c r="B34" s="964"/>
      <c r="C34" s="966"/>
      <c r="D34" s="183" t="s">
        <v>1196</v>
      </c>
      <c r="E34" s="847">
        <v>1.7442315000000002</v>
      </c>
      <c r="F34" s="847">
        <v>0</v>
      </c>
      <c r="G34" s="612">
        <f t="shared" si="2"/>
        <v>0</v>
      </c>
      <c r="H34" s="968"/>
      <c r="I34" s="970"/>
      <c r="J34" s="970"/>
    </row>
    <row r="35" spans="1:10" ht="25.5" customHeight="1" x14ac:dyDescent="0.2">
      <c r="A35" s="962"/>
      <c r="B35" s="991"/>
      <c r="C35" s="977"/>
      <c r="D35" s="164" t="s">
        <v>1197</v>
      </c>
      <c r="E35" s="847">
        <v>399.89370000000008</v>
      </c>
      <c r="F35" s="847">
        <v>100</v>
      </c>
      <c r="G35" s="612">
        <f t="shared" si="2"/>
        <v>25.006645516045882</v>
      </c>
      <c r="H35" s="969"/>
      <c r="I35" s="959"/>
      <c r="J35" s="959"/>
    </row>
    <row r="36" spans="1:10" ht="28.5" customHeight="1" x14ac:dyDescent="0.2">
      <c r="A36" s="43">
        <v>2</v>
      </c>
      <c r="B36" s="604" t="s">
        <v>1198</v>
      </c>
      <c r="C36" s="183" t="s">
        <v>630</v>
      </c>
      <c r="D36" s="164" t="s">
        <v>1685</v>
      </c>
      <c r="E36" s="63">
        <v>1</v>
      </c>
      <c r="F36" s="636">
        <v>0.19</v>
      </c>
      <c r="G36" s="612">
        <f t="shared" si="2"/>
        <v>19</v>
      </c>
      <c r="H36" s="845">
        <v>1801501</v>
      </c>
      <c r="I36" s="847">
        <v>342476.37</v>
      </c>
      <c r="J36" s="847">
        <f>+I36/H36*100</f>
        <v>19.010612261664022</v>
      </c>
    </row>
    <row r="37" spans="1:10" ht="29.25" customHeight="1" x14ac:dyDescent="0.2">
      <c r="A37" s="43">
        <v>3</v>
      </c>
      <c r="B37" s="604" t="s">
        <v>1199</v>
      </c>
      <c r="C37" s="183" t="s">
        <v>168</v>
      </c>
      <c r="D37" s="164" t="s">
        <v>1685</v>
      </c>
      <c r="E37" s="63">
        <v>1</v>
      </c>
      <c r="F37" s="636">
        <v>1</v>
      </c>
      <c r="G37" s="612">
        <f t="shared" si="2"/>
        <v>100</v>
      </c>
      <c r="H37" s="845">
        <v>3539419</v>
      </c>
      <c r="I37" s="847">
        <v>2608252.39</v>
      </c>
      <c r="J37" s="847">
        <f t="shared" ref="J37:J51" si="3">+I37/H37*100</f>
        <v>73.691540617259506</v>
      </c>
    </row>
    <row r="38" spans="1:10" ht="29.25" customHeight="1" x14ac:dyDescent="0.2">
      <c r="A38" s="43">
        <v>4</v>
      </c>
      <c r="B38" s="604" t="s">
        <v>1200</v>
      </c>
      <c r="C38" s="183" t="s">
        <v>170</v>
      </c>
      <c r="D38" s="164" t="s">
        <v>1685</v>
      </c>
      <c r="E38" s="63">
        <v>1</v>
      </c>
      <c r="F38" s="636">
        <v>0</v>
      </c>
      <c r="G38" s="612">
        <f t="shared" si="2"/>
        <v>0</v>
      </c>
      <c r="H38" s="845">
        <v>6777428</v>
      </c>
      <c r="I38" s="847">
        <v>5071844</v>
      </c>
      <c r="J38" s="847">
        <f t="shared" si="3"/>
        <v>74.83434718893362</v>
      </c>
    </row>
    <row r="39" spans="1:10" ht="39" customHeight="1" x14ac:dyDescent="0.2">
      <c r="A39" s="43">
        <v>5</v>
      </c>
      <c r="B39" s="19" t="s">
        <v>1201</v>
      </c>
      <c r="C39" s="183" t="s">
        <v>189</v>
      </c>
      <c r="D39" s="164" t="s">
        <v>1276</v>
      </c>
      <c r="E39" s="63">
        <v>1</v>
      </c>
      <c r="F39" s="636">
        <v>1</v>
      </c>
      <c r="G39" s="612">
        <f t="shared" si="2"/>
        <v>100</v>
      </c>
      <c r="H39" s="845">
        <v>1899993</v>
      </c>
      <c r="I39" s="847">
        <v>0</v>
      </c>
      <c r="J39" s="847">
        <f t="shared" si="3"/>
        <v>0</v>
      </c>
    </row>
    <row r="40" spans="1:10" ht="25.5" customHeight="1" x14ac:dyDescent="0.2">
      <c r="A40" s="43">
        <v>6</v>
      </c>
      <c r="B40" s="576" t="s">
        <v>1202</v>
      </c>
      <c r="C40" s="183" t="s">
        <v>628</v>
      </c>
      <c r="D40" s="164" t="s">
        <v>1274</v>
      </c>
      <c r="E40" s="63">
        <v>1</v>
      </c>
      <c r="F40" s="636">
        <v>0.4</v>
      </c>
      <c r="G40" s="612">
        <f t="shared" si="2"/>
        <v>40</v>
      </c>
      <c r="H40" s="845">
        <v>2522425</v>
      </c>
      <c r="I40" s="847">
        <v>1053942.3700000001</v>
      </c>
      <c r="J40" s="847">
        <f t="shared" si="3"/>
        <v>41.782902167557019</v>
      </c>
    </row>
    <row r="41" spans="1:10" ht="36.75" customHeight="1" x14ac:dyDescent="0.2">
      <c r="A41" s="43">
        <v>7</v>
      </c>
      <c r="B41" s="604" t="s">
        <v>1203</v>
      </c>
      <c r="C41" s="183" t="s">
        <v>1049</v>
      </c>
      <c r="D41" s="164" t="s">
        <v>1275</v>
      </c>
      <c r="E41" s="63">
        <v>1</v>
      </c>
      <c r="F41" s="636">
        <v>0.5</v>
      </c>
      <c r="G41" s="612">
        <f t="shared" si="2"/>
        <v>50</v>
      </c>
      <c r="H41" s="845">
        <v>1776209</v>
      </c>
      <c r="I41" s="847">
        <v>840319.07</v>
      </c>
      <c r="J41" s="847">
        <f t="shared" si="3"/>
        <v>47.309695536955388</v>
      </c>
    </row>
    <row r="42" spans="1:10" ht="39" customHeight="1" x14ac:dyDescent="0.2">
      <c r="A42" s="43">
        <v>8</v>
      </c>
      <c r="B42" s="604" t="s">
        <v>1204</v>
      </c>
      <c r="C42" s="183" t="s">
        <v>629</v>
      </c>
      <c r="D42" s="164" t="s">
        <v>1275</v>
      </c>
      <c r="E42" s="63">
        <v>1</v>
      </c>
      <c r="F42" s="636">
        <v>0</v>
      </c>
      <c r="G42" s="612">
        <f t="shared" si="2"/>
        <v>0</v>
      </c>
      <c r="H42" s="845">
        <v>1309590</v>
      </c>
      <c r="I42" s="847">
        <v>92528.75</v>
      </c>
      <c r="J42" s="847">
        <f t="shared" si="3"/>
        <v>7.0654746905520049</v>
      </c>
    </row>
    <row r="43" spans="1:10" ht="36.75" customHeight="1" x14ac:dyDescent="0.2">
      <c r="A43" s="43">
        <v>9</v>
      </c>
      <c r="B43" s="604" t="s">
        <v>1205</v>
      </c>
      <c r="C43" s="183" t="s">
        <v>1046</v>
      </c>
      <c r="D43" s="164" t="s">
        <v>1275</v>
      </c>
      <c r="E43" s="63">
        <v>1</v>
      </c>
      <c r="F43" s="636">
        <v>0.2</v>
      </c>
      <c r="G43" s="612">
        <f t="shared" si="2"/>
        <v>20</v>
      </c>
      <c r="H43" s="845">
        <v>1885182</v>
      </c>
      <c r="I43" s="847">
        <v>419550.93</v>
      </c>
      <c r="J43" s="847">
        <f t="shared" si="3"/>
        <v>22.25519498913102</v>
      </c>
    </row>
    <row r="44" spans="1:10" ht="38.25" customHeight="1" x14ac:dyDescent="0.2">
      <c r="A44" s="43">
        <v>10</v>
      </c>
      <c r="B44" s="604" t="s">
        <v>1206</v>
      </c>
      <c r="C44" s="183" t="s">
        <v>626</v>
      </c>
      <c r="D44" s="164" t="s">
        <v>1275</v>
      </c>
      <c r="E44" s="63">
        <v>1</v>
      </c>
      <c r="F44" s="636">
        <v>0</v>
      </c>
      <c r="G44" s="612">
        <f t="shared" si="2"/>
        <v>0</v>
      </c>
      <c r="H44" s="845">
        <v>1487549</v>
      </c>
      <c r="I44" s="847">
        <v>0</v>
      </c>
      <c r="J44" s="847">
        <f t="shared" si="3"/>
        <v>0</v>
      </c>
    </row>
    <row r="45" spans="1:10" ht="39" customHeight="1" x14ac:dyDescent="0.2">
      <c r="A45" s="43">
        <v>11</v>
      </c>
      <c r="B45" s="604" t="s">
        <v>1207</v>
      </c>
      <c r="C45" s="183" t="s">
        <v>631</v>
      </c>
      <c r="D45" s="164" t="s">
        <v>1275</v>
      </c>
      <c r="E45" s="63">
        <v>1</v>
      </c>
      <c r="F45" s="636">
        <v>0</v>
      </c>
      <c r="G45" s="612">
        <f t="shared" si="2"/>
        <v>0</v>
      </c>
      <c r="H45" s="845">
        <v>1430053</v>
      </c>
      <c r="I45" s="847">
        <v>71435.5</v>
      </c>
      <c r="J45" s="847">
        <f t="shared" si="3"/>
        <v>4.995304369838041</v>
      </c>
    </row>
    <row r="46" spans="1:10" ht="39" customHeight="1" x14ac:dyDescent="0.2">
      <c r="A46" s="43">
        <v>12</v>
      </c>
      <c r="B46" s="604" t="s">
        <v>1565</v>
      </c>
      <c r="C46" s="614" t="s">
        <v>40</v>
      </c>
      <c r="D46" s="161"/>
      <c r="E46" s="488"/>
      <c r="F46" s="488"/>
      <c r="G46" s="349"/>
      <c r="H46" s="615">
        <v>6000</v>
      </c>
      <c r="I46" s="847">
        <v>0</v>
      </c>
      <c r="J46" s="488"/>
    </row>
    <row r="47" spans="1:10" ht="42.75" customHeight="1" x14ac:dyDescent="0.2">
      <c r="A47" s="43">
        <v>13</v>
      </c>
      <c r="B47" s="604" t="s">
        <v>1932</v>
      </c>
      <c r="C47" s="183" t="s">
        <v>46</v>
      </c>
      <c r="D47" s="161"/>
      <c r="E47" s="488"/>
      <c r="F47" s="488"/>
      <c r="G47" s="488"/>
      <c r="H47" s="845">
        <v>4518249</v>
      </c>
      <c r="I47" s="847">
        <v>3954502.25</v>
      </c>
      <c r="J47" s="847">
        <f>+I47/H47*100</f>
        <v>87.522893271265048</v>
      </c>
    </row>
    <row r="48" spans="1:10" ht="39" customHeight="1" x14ac:dyDescent="0.2">
      <c r="A48" s="43">
        <v>14</v>
      </c>
      <c r="B48" s="604" t="s">
        <v>1933</v>
      </c>
      <c r="C48" s="183" t="s">
        <v>628</v>
      </c>
      <c r="D48" s="161"/>
      <c r="E48" s="488"/>
      <c r="F48" s="488"/>
      <c r="G48" s="488"/>
      <c r="H48" s="845">
        <v>627650</v>
      </c>
      <c r="I48" s="847">
        <v>101254.1</v>
      </c>
      <c r="J48" s="847">
        <f>+I48/H48*100</f>
        <v>16.132255237791764</v>
      </c>
    </row>
    <row r="49" spans="1:11" s="145" customFormat="1" ht="20.25" customHeight="1" x14ac:dyDescent="0.2">
      <c r="A49" s="465"/>
      <c r="B49" s="53" t="s">
        <v>1267</v>
      </c>
      <c r="C49" s="617"/>
      <c r="D49" s="540"/>
      <c r="E49" s="780"/>
      <c r="F49" s="780"/>
      <c r="G49" s="619"/>
      <c r="H49" s="393">
        <f>SUM(H50:H51)</f>
        <v>627650</v>
      </c>
      <c r="I49" s="393">
        <f>SUM(I50:I51)</f>
        <v>101254.1</v>
      </c>
      <c r="J49" s="393">
        <f t="shared" si="3"/>
        <v>16.132255237791764</v>
      </c>
      <c r="K49" s="3"/>
    </row>
    <row r="50" spans="1:11" s="145" customFormat="1" ht="27.75" customHeight="1" x14ac:dyDescent="0.2">
      <c r="A50" s="620">
        <v>1</v>
      </c>
      <c r="B50" s="621" t="s">
        <v>1686</v>
      </c>
      <c r="C50" s="622" t="s">
        <v>1078</v>
      </c>
      <c r="D50" s="623" t="s">
        <v>64</v>
      </c>
      <c r="E50" s="894">
        <v>1</v>
      </c>
      <c r="F50" s="894">
        <v>1</v>
      </c>
      <c r="G50" s="612">
        <f t="shared" si="2"/>
        <v>100</v>
      </c>
      <c r="H50" s="624">
        <v>0</v>
      </c>
      <c r="I50" s="624">
        <v>0</v>
      </c>
      <c r="J50" s="845">
        <v>0</v>
      </c>
    </row>
    <row r="51" spans="1:11" ht="27" customHeight="1" x14ac:dyDescent="0.2">
      <c r="A51" s="620">
        <v>2</v>
      </c>
      <c r="B51" s="625" t="s">
        <v>1246</v>
      </c>
      <c r="C51" s="626" t="s">
        <v>628</v>
      </c>
      <c r="D51" s="623" t="s">
        <v>64</v>
      </c>
      <c r="E51" s="894">
        <v>1</v>
      </c>
      <c r="F51" s="894">
        <v>1</v>
      </c>
      <c r="G51" s="527">
        <f t="shared" si="2"/>
        <v>100</v>
      </c>
      <c r="H51" s="627">
        <v>627650</v>
      </c>
      <c r="I51" s="311">
        <v>101254.1</v>
      </c>
      <c r="J51" s="847">
        <f t="shared" si="3"/>
        <v>16.132255237791764</v>
      </c>
      <c r="K51" s="145"/>
    </row>
    <row r="52" spans="1:11" x14ac:dyDescent="0.2">
      <c r="A52" s="3"/>
      <c r="C52" s="3"/>
      <c r="D52" s="3"/>
      <c r="E52" s="3"/>
      <c r="F52" s="3"/>
      <c r="G52" s="3"/>
    </row>
    <row r="53" spans="1:11" x14ac:dyDescent="0.2">
      <c r="A53" s="3"/>
      <c r="C53" s="3"/>
      <c r="D53" s="3"/>
      <c r="E53" s="3"/>
      <c r="F53" s="3"/>
      <c r="G53" s="3"/>
    </row>
    <row r="54" spans="1:11" x14ac:dyDescent="0.2">
      <c r="A54" s="3"/>
      <c r="C54" s="3"/>
      <c r="E54" s="3"/>
    </row>
    <row r="55" spans="1:11" x14ac:dyDescent="0.2">
      <c r="A55" s="3"/>
      <c r="C55" s="3"/>
      <c r="E55" s="3"/>
    </row>
    <row r="56" spans="1:11" x14ac:dyDescent="0.2">
      <c r="A56" s="3"/>
      <c r="C56" s="3"/>
      <c r="E56" s="3"/>
    </row>
    <row r="57" spans="1:11" x14ac:dyDescent="0.2">
      <c r="A57" s="3"/>
      <c r="C57" s="3"/>
      <c r="E57" s="3"/>
    </row>
    <row r="58" spans="1:11" x14ac:dyDescent="0.2">
      <c r="A58" s="3"/>
      <c r="C58" s="3"/>
      <c r="E58" s="3"/>
    </row>
    <row r="59" spans="1:11" x14ac:dyDescent="0.2">
      <c r="A59" s="3"/>
      <c r="C59" s="3"/>
      <c r="E59" s="3"/>
    </row>
    <row r="60" spans="1:11" x14ac:dyDescent="0.2">
      <c r="A60" s="3"/>
      <c r="C60" s="3"/>
      <c r="E60" s="3"/>
    </row>
    <row r="61" spans="1:11" x14ac:dyDescent="0.2">
      <c r="A61" s="3"/>
      <c r="C61" s="3"/>
      <c r="E61" s="3"/>
    </row>
    <row r="62" spans="1:11" x14ac:dyDescent="0.2">
      <c r="A62" s="3"/>
      <c r="C62" s="3"/>
      <c r="E62" s="3"/>
    </row>
    <row r="63" spans="1:11" x14ac:dyDescent="0.2">
      <c r="A63" s="3"/>
      <c r="C63" s="3"/>
      <c r="E63" s="3"/>
    </row>
    <row r="64" spans="1:11" x14ac:dyDescent="0.2">
      <c r="A64" s="3"/>
      <c r="C64" s="3"/>
      <c r="E64" s="3"/>
    </row>
    <row r="65" spans="1:5" x14ac:dyDescent="0.2">
      <c r="A65" s="3"/>
      <c r="C65" s="3"/>
      <c r="E65" s="3"/>
    </row>
    <row r="66" spans="1:5" x14ac:dyDescent="0.2">
      <c r="A66" s="3"/>
      <c r="C66" s="3"/>
      <c r="E66" s="3"/>
    </row>
    <row r="67" spans="1:5" x14ac:dyDescent="0.2">
      <c r="A67" s="3"/>
      <c r="C67" s="3"/>
      <c r="E67" s="3"/>
    </row>
    <row r="68" spans="1:5" x14ac:dyDescent="0.2">
      <c r="A68" s="3"/>
      <c r="C68" s="3"/>
      <c r="E68" s="3"/>
    </row>
    <row r="69" spans="1:5" x14ac:dyDescent="0.2">
      <c r="A69" s="3"/>
      <c r="C69" s="3"/>
      <c r="E69" s="3"/>
    </row>
    <row r="70" spans="1:5" x14ac:dyDescent="0.2">
      <c r="A70" s="3"/>
      <c r="C70" s="3"/>
      <c r="E70" s="3"/>
    </row>
    <row r="71" spans="1:5" x14ac:dyDescent="0.2">
      <c r="A71" s="3"/>
      <c r="C71" s="3"/>
      <c r="E71" s="3"/>
    </row>
    <row r="72" spans="1:5" x14ac:dyDescent="0.2">
      <c r="A72" s="3"/>
      <c r="C72" s="3"/>
      <c r="E72" s="3"/>
    </row>
    <row r="73" spans="1:5" x14ac:dyDescent="0.2">
      <c r="A73" s="3"/>
      <c r="C73" s="3"/>
      <c r="E73" s="3"/>
    </row>
    <row r="74" spans="1:5" x14ac:dyDescent="0.2">
      <c r="A74" s="3"/>
      <c r="C74" s="3"/>
      <c r="E74" s="3"/>
    </row>
    <row r="75" spans="1:5" x14ac:dyDescent="0.2">
      <c r="A75" s="3"/>
      <c r="C75" s="3"/>
      <c r="E75" s="3"/>
    </row>
    <row r="76" spans="1:5" x14ac:dyDescent="0.2">
      <c r="A76" s="3"/>
      <c r="C76" s="3"/>
      <c r="E76" s="3"/>
    </row>
    <row r="77" spans="1:5" x14ac:dyDescent="0.2">
      <c r="A77" s="3"/>
      <c r="C77" s="3"/>
      <c r="E77" s="3"/>
    </row>
    <row r="78" spans="1:5" x14ac:dyDescent="0.2">
      <c r="A78" s="3"/>
      <c r="C78" s="3"/>
      <c r="E78" s="3"/>
    </row>
    <row r="79" spans="1:5" x14ac:dyDescent="0.2">
      <c r="A79" s="3"/>
      <c r="C79" s="3"/>
      <c r="E79" s="3"/>
    </row>
    <row r="80" spans="1:5" x14ac:dyDescent="0.2">
      <c r="A80" s="3"/>
      <c r="C80" s="3"/>
      <c r="E80" s="3"/>
    </row>
    <row r="81" spans="1:5" x14ac:dyDescent="0.2">
      <c r="A81" s="3"/>
      <c r="C81" s="3"/>
      <c r="E81" s="3"/>
    </row>
    <row r="82" spans="1:5" x14ac:dyDescent="0.2">
      <c r="A82" s="3"/>
      <c r="C82" s="3"/>
      <c r="E82" s="3"/>
    </row>
    <row r="83" spans="1:5" x14ac:dyDescent="0.2">
      <c r="A83" s="3"/>
      <c r="C83" s="3"/>
      <c r="E83" s="3"/>
    </row>
    <row r="84" spans="1:5" x14ac:dyDescent="0.2">
      <c r="A84" s="3"/>
      <c r="C84" s="3"/>
      <c r="E84" s="3"/>
    </row>
    <row r="85" spans="1:5" x14ac:dyDescent="0.2">
      <c r="A85" s="3"/>
      <c r="C85" s="3"/>
      <c r="E85" s="3"/>
    </row>
    <row r="86" spans="1:5" x14ac:dyDescent="0.2">
      <c r="A86" s="3"/>
      <c r="C86" s="3"/>
      <c r="E86" s="3"/>
    </row>
    <row r="87" spans="1:5" x14ac:dyDescent="0.2">
      <c r="A87" s="3"/>
      <c r="C87" s="3"/>
      <c r="E87" s="3"/>
    </row>
    <row r="88" spans="1:5" x14ac:dyDescent="0.2">
      <c r="A88" s="3"/>
      <c r="C88" s="3"/>
      <c r="E88" s="3"/>
    </row>
    <row r="89" spans="1:5" x14ac:dyDescent="0.2">
      <c r="A89" s="3"/>
      <c r="C89" s="3"/>
      <c r="E89" s="3"/>
    </row>
    <row r="90" spans="1:5" x14ac:dyDescent="0.2">
      <c r="A90" s="3"/>
      <c r="C90" s="3"/>
      <c r="E90" s="3"/>
    </row>
    <row r="91" spans="1:5" x14ac:dyDescent="0.2">
      <c r="A91" s="3"/>
      <c r="C91" s="3"/>
      <c r="E91" s="3"/>
    </row>
    <row r="92" spans="1:5" x14ac:dyDescent="0.2">
      <c r="A92" s="3"/>
      <c r="C92" s="3"/>
      <c r="E92" s="3"/>
    </row>
  </sheetData>
  <mergeCells count="15">
    <mergeCell ref="I29:I35"/>
    <mergeCell ref="J29:J35"/>
    <mergeCell ref="D5:G5"/>
    <mergeCell ref="H5:J5"/>
    <mergeCell ref="A3:J3"/>
    <mergeCell ref="A4:J4"/>
    <mergeCell ref="H29:H35"/>
    <mergeCell ref="A2:B2"/>
    <mergeCell ref="A5:A6"/>
    <mergeCell ref="B5:B6"/>
    <mergeCell ref="C5:C6"/>
    <mergeCell ref="C29:C35"/>
    <mergeCell ref="A7:B7"/>
    <mergeCell ref="A29:A35"/>
    <mergeCell ref="B29:B35"/>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79998168889431442"/>
  </sheetPr>
  <dimension ref="A2:J73"/>
  <sheetViews>
    <sheetView view="pageBreakPreview" topLeftCell="A19" zoomScale="60" zoomScaleNormal="100" workbookViewId="0">
      <selection activeCell="E7" sqref="E7:J45"/>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65" customWidth="1"/>
    <col min="6" max="6" width="11.7109375" style="159" customWidth="1"/>
    <col min="7" max="7" width="10.140625" style="159" customWidth="1"/>
    <col min="8" max="8" width="12.5703125" style="65" customWidth="1"/>
    <col min="9" max="9" width="13.42578125" style="65" customWidth="1"/>
    <col min="10" max="10" width="9.85546875" style="65" customWidth="1"/>
    <col min="11" max="16384" width="11.42578125" style="3"/>
  </cols>
  <sheetData>
    <row r="2" spans="1:10" ht="18" customHeight="1" x14ac:dyDescent="0.2">
      <c r="A2" s="983" t="s">
        <v>21</v>
      </c>
      <c r="B2" s="983"/>
      <c r="C2" s="1"/>
      <c r="D2" s="150"/>
      <c r="E2" s="61"/>
      <c r="F2" s="150"/>
      <c r="G2" s="150"/>
      <c r="H2" s="61"/>
      <c r="I2" s="61"/>
      <c r="J2" s="66"/>
    </row>
    <row r="3" spans="1:10" ht="19.5" customHeight="1" x14ac:dyDescent="0.2">
      <c r="A3" s="987" t="s">
        <v>9</v>
      </c>
      <c r="B3" s="988"/>
      <c r="C3" s="988"/>
      <c r="D3" s="988"/>
      <c r="E3" s="988"/>
      <c r="F3" s="988"/>
      <c r="G3" s="988"/>
      <c r="H3" s="988"/>
      <c r="I3" s="988"/>
      <c r="J3" s="989"/>
    </row>
    <row r="4" spans="1:10" ht="30" customHeight="1" x14ac:dyDescent="0.2">
      <c r="A4" s="987" t="s">
        <v>10</v>
      </c>
      <c r="B4" s="988"/>
      <c r="C4" s="988"/>
      <c r="D4" s="988"/>
      <c r="E4" s="988"/>
      <c r="F4" s="988"/>
      <c r="G4" s="988"/>
      <c r="H4" s="988"/>
      <c r="I4" s="988"/>
      <c r="J4" s="989"/>
    </row>
    <row r="5" spans="1:10" ht="18" customHeight="1" x14ac:dyDescent="0.2">
      <c r="A5" s="1007" t="s">
        <v>0</v>
      </c>
      <c r="B5" s="1007" t="s">
        <v>1</v>
      </c>
      <c r="C5" s="984" t="s">
        <v>2</v>
      </c>
      <c r="D5" s="990" t="s">
        <v>1440</v>
      </c>
      <c r="E5" s="990"/>
      <c r="F5" s="990"/>
      <c r="G5" s="990"/>
      <c r="H5" s="990" t="s">
        <v>1441</v>
      </c>
      <c r="I5" s="990"/>
      <c r="J5" s="990"/>
    </row>
    <row r="6" spans="1:10" ht="24" customHeight="1" x14ac:dyDescent="0.2">
      <c r="A6" s="1008"/>
      <c r="B6" s="1008"/>
      <c r="C6" s="984"/>
      <c r="D6" s="4" t="s">
        <v>3</v>
      </c>
      <c r="E6" s="4" t="s">
        <v>4</v>
      </c>
      <c r="F6" s="270" t="s">
        <v>1298</v>
      </c>
      <c r="G6" s="270" t="s">
        <v>1439</v>
      </c>
      <c r="H6" s="4" t="s">
        <v>1297</v>
      </c>
      <c r="I6" s="270" t="s">
        <v>1298</v>
      </c>
      <c r="J6" s="270" t="s">
        <v>1439</v>
      </c>
    </row>
    <row r="7" spans="1:10" ht="18.75" customHeight="1" x14ac:dyDescent="0.2">
      <c r="A7" s="985" t="s">
        <v>216</v>
      </c>
      <c r="B7" s="985"/>
      <c r="C7" s="163"/>
      <c r="D7" s="163"/>
      <c r="E7" s="25"/>
      <c r="F7" s="25"/>
      <c r="G7" s="25"/>
      <c r="H7" s="67">
        <f>+H8+H19+H32</f>
        <v>1260396</v>
      </c>
      <c r="I7" s="81">
        <f>+I8+I19+I32</f>
        <v>1259613</v>
      </c>
      <c r="J7" s="360">
        <f>+I7/H7*100</f>
        <v>99.937876667333128</v>
      </c>
    </row>
    <row r="8" spans="1:10" ht="18.75" customHeight="1" x14ac:dyDescent="0.2">
      <c r="A8" s="55"/>
      <c r="B8" s="53" t="s">
        <v>452</v>
      </c>
      <c r="C8" s="337"/>
      <c r="D8" s="166"/>
      <c r="E8" s="62"/>
      <c r="F8" s="62"/>
      <c r="G8" s="327"/>
      <c r="H8" s="41">
        <f>+H9+H12+H14+H16</f>
        <v>352673</v>
      </c>
      <c r="I8" s="306">
        <f>+I9+I12+I14+I16</f>
        <v>352269</v>
      </c>
      <c r="J8" s="392">
        <f>+I8/H8*100</f>
        <v>99.885446291607238</v>
      </c>
    </row>
    <row r="9" spans="1:10" ht="28.5" customHeight="1" x14ac:dyDescent="0.2">
      <c r="A9" s="27">
        <v>1</v>
      </c>
      <c r="B9" s="56" t="s">
        <v>2017</v>
      </c>
      <c r="C9" s="60" t="s">
        <v>218</v>
      </c>
      <c r="D9" s="60"/>
      <c r="E9" s="470"/>
      <c r="F9" s="34"/>
      <c r="G9" s="34"/>
      <c r="H9" s="33">
        <f>SUM(H10:H11)</f>
        <v>65770</v>
      </c>
      <c r="I9" s="387">
        <f>SUM(I10:I11)</f>
        <v>65770</v>
      </c>
      <c r="J9" s="71">
        <f>+I9/H9*100</f>
        <v>100</v>
      </c>
    </row>
    <row r="10" spans="1:10" ht="18.75" customHeight="1" x14ac:dyDescent="0.2">
      <c r="A10" s="49">
        <v>1.1000000000000001</v>
      </c>
      <c r="B10" s="23" t="s">
        <v>453</v>
      </c>
      <c r="C10" s="60"/>
      <c r="D10" s="60" t="s">
        <v>459</v>
      </c>
      <c r="E10" s="470">
        <v>12</v>
      </c>
      <c r="F10" s="34">
        <v>12</v>
      </c>
      <c r="G10" s="71">
        <f>+F10/E10*100</f>
        <v>100</v>
      </c>
      <c r="H10" s="22">
        <v>960</v>
      </c>
      <c r="I10" s="71">
        <v>960</v>
      </c>
      <c r="J10" s="71">
        <f>+I10/H10*100</f>
        <v>100</v>
      </c>
    </row>
    <row r="11" spans="1:10" ht="18.75" customHeight="1" x14ac:dyDescent="0.2">
      <c r="A11" s="49">
        <v>1.2</v>
      </c>
      <c r="B11" s="23" t="s">
        <v>2018</v>
      </c>
      <c r="C11" s="60"/>
      <c r="D11" s="60" t="s">
        <v>459</v>
      </c>
      <c r="E11" s="470">
        <v>5</v>
      </c>
      <c r="F11" s="34">
        <v>5</v>
      </c>
      <c r="G11" s="71">
        <f>+F11/E11*100</f>
        <v>100</v>
      </c>
      <c r="H11" s="22">
        <v>64810</v>
      </c>
      <c r="I11" s="71">
        <v>64810</v>
      </c>
      <c r="J11" s="71">
        <f t="shared" ref="J11:J17" si="0">+I11/H11*100</f>
        <v>100</v>
      </c>
    </row>
    <row r="12" spans="1:10" ht="27.75" customHeight="1" x14ac:dyDescent="0.2">
      <c r="A12" s="27">
        <v>2</v>
      </c>
      <c r="B12" s="56" t="s">
        <v>2016</v>
      </c>
      <c r="C12" s="60"/>
      <c r="D12" s="60"/>
      <c r="E12" s="34"/>
      <c r="F12" s="34"/>
      <c r="G12" s="34"/>
      <c r="H12" s="32">
        <f>SUM(H13:H13)</f>
        <v>3370</v>
      </c>
      <c r="I12" s="385">
        <f>SUM(I13:I13)</f>
        <v>3370</v>
      </c>
      <c r="J12" s="71">
        <f t="shared" si="0"/>
        <v>100</v>
      </c>
    </row>
    <row r="13" spans="1:10" ht="18.75" customHeight="1" x14ac:dyDescent="0.2">
      <c r="A13" s="49">
        <v>2.2000000000000002</v>
      </c>
      <c r="B13" s="23" t="s">
        <v>453</v>
      </c>
      <c r="C13" s="60" t="s">
        <v>46</v>
      </c>
      <c r="D13" s="60" t="s">
        <v>455</v>
      </c>
      <c r="E13" s="34">
        <v>2</v>
      </c>
      <c r="F13" s="34">
        <v>2</v>
      </c>
      <c r="G13" s="71">
        <f t="shared" ref="G13:G45" si="1">+F13/E13*100</f>
        <v>100</v>
      </c>
      <c r="H13" s="22">
        <v>3370</v>
      </c>
      <c r="I13" s="71">
        <v>3370</v>
      </c>
      <c r="J13" s="71">
        <f t="shared" si="0"/>
        <v>100</v>
      </c>
    </row>
    <row r="14" spans="1:10" ht="40.5" customHeight="1" x14ac:dyDescent="0.2">
      <c r="A14" s="27">
        <v>3</v>
      </c>
      <c r="B14" s="56" t="s">
        <v>2015</v>
      </c>
      <c r="C14" s="60"/>
      <c r="D14" s="60"/>
      <c r="E14" s="34"/>
      <c r="F14" s="34"/>
      <c r="G14" s="34"/>
      <c r="H14" s="32">
        <f>SUM(H15:H15)</f>
        <v>720</v>
      </c>
      <c r="I14" s="385">
        <f>SUM(I15:I15)</f>
        <v>720</v>
      </c>
      <c r="J14" s="71">
        <f t="shared" si="0"/>
        <v>100</v>
      </c>
    </row>
    <row r="15" spans="1:10" ht="40.5" customHeight="1" x14ac:dyDescent="0.2">
      <c r="A15" s="57">
        <v>3.2</v>
      </c>
      <c r="B15" s="23" t="s">
        <v>457</v>
      </c>
      <c r="C15" s="60" t="s">
        <v>218</v>
      </c>
      <c r="D15" s="60" t="s">
        <v>455</v>
      </c>
      <c r="E15" s="34">
        <v>1</v>
      </c>
      <c r="F15" s="34">
        <v>1</v>
      </c>
      <c r="G15" s="71">
        <f t="shared" si="1"/>
        <v>100</v>
      </c>
      <c r="H15" s="22">
        <v>720</v>
      </c>
      <c r="I15" s="71">
        <v>720</v>
      </c>
      <c r="J15" s="71">
        <f t="shared" si="0"/>
        <v>100</v>
      </c>
    </row>
    <row r="16" spans="1:10" ht="65.25" customHeight="1" x14ac:dyDescent="0.2">
      <c r="A16" s="27">
        <v>4</v>
      </c>
      <c r="B16" s="58" t="s">
        <v>2014</v>
      </c>
      <c r="C16" s="60"/>
      <c r="D16" s="60"/>
      <c r="E16" s="34"/>
      <c r="F16" s="34"/>
      <c r="G16" s="34"/>
      <c r="H16" s="32">
        <f>SUM(H17:H18)</f>
        <v>282813</v>
      </c>
      <c r="I16" s="385">
        <f>SUM(I17:I18)</f>
        <v>282409</v>
      </c>
      <c r="J16" s="387">
        <f t="shared" si="0"/>
        <v>99.857149423824225</v>
      </c>
    </row>
    <row r="17" spans="1:10" ht="76.5" x14ac:dyDescent="0.2">
      <c r="A17" s="49">
        <v>4.0999999999999996</v>
      </c>
      <c r="B17" s="23" t="s">
        <v>458</v>
      </c>
      <c r="C17" s="60" t="s">
        <v>46</v>
      </c>
      <c r="D17" s="60" t="s">
        <v>459</v>
      </c>
      <c r="E17" s="34">
        <v>12</v>
      </c>
      <c r="F17" s="34">
        <v>12</v>
      </c>
      <c r="G17" s="71">
        <f t="shared" si="1"/>
        <v>100</v>
      </c>
      <c r="H17" s="22">
        <f>75150+55128</f>
        <v>130278</v>
      </c>
      <c r="I17" s="71">
        <f>75150+60738</f>
        <v>135888</v>
      </c>
      <c r="J17" s="71">
        <f t="shared" si="0"/>
        <v>104.30617602358035</v>
      </c>
    </row>
    <row r="18" spans="1:10" ht="20.25" customHeight="1" x14ac:dyDescent="0.2">
      <c r="A18" s="363">
        <v>5</v>
      </c>
      <c r="B18" s="23" t="s">
        <v>2011</v>
      </c>
      <c r="C18" s="60" t="s">
        <v>218</v>
      </c>
      <c r="D18" s="60" t="s">
        <v>47</v>
      </c>
      <c r="E18" s="34">
        <v>1</v>
      </c>
      <c r="F18" s="34">
        <v>1</v>
      </c>
      <c r="G18" s="71">
        <f t="shared" si="1"/>
        <v>100</v>
      </c>
      <c r="H18" s="470">
        <f>147805+4730</f>
        <v>152535</v>
      </c>
      <c r="I18" s="130">
        <f>141836+4685</f>
        <v>146521</v>
      </c>
      <c r="J18" s="130">
        <f>+I18/H18*100</f>
        <v>96.057298324974596</v>
      </c>
    </row>
    <row r="19" spans="1:10" ht="21.75" customHeight="1" x14ac:dyDescent="0.2">
      <c r="A19" s="36"/>
      <c r="B19" s="35" t="s">
        <v>1761</v>
      </c>
      <c r="C19" s="503"/>
      <c r="D19" s="170"/>
      <c r="E19" s="64"/>
      <c r="F19" s="64"/>
      <c r="G19" s="64"/>
      <c r="H19" s="41">
        <f>SUM(H20:H31)</f>
        <v>108586</v>
      </c>
      <c r="I19" s="306">
        <f>SUM(I20:I31)</f>
        <v>108582</v>
      </c>
      <c r="J19" s="306">
        <f>+I19/H19%</f>
        <v>99.996316283867174</v>
      </c>
    </row>
    <row r="20" spans="1:10" ht="23.25" customHeight="1" x14ac:dyDescent="0.2">
      <c r="A20" s="12">
        <v>1</v>
      </c>
      <c r="B20" s="19" t="s">
        <v>1788</v>
      </c>
      <c r="C20" s="169" t="s">
        <v>460</v>
      </c>
      <c r="D20" s="171" t="s">
        <v>470</v>
      </c>
      <c r="E20" s="636">
        <v>1</v>
      </c>
      <c r="F20" s="845">
        <v>1</v>
      </c>
      <c r="G20" s="71">
        <f t="shared" si="1"/>
        <v>100</v>
      </c>
      <c r="H20" s="345">
        <v>14392</v>
      </c>
      <c r="I20" s="277">
        <v>14390</v>
      </c>
      <c r="J20" s="277">
        <f>+I20/H20%</f>
        <v>99.986103390772655</v>
      </c>
    </row>
    <row r="21" spans="1:10" ht="21" customHeight="1" x14ac:dyDescent="0.2">
      <c r="A21" s="12">
        <v>2</v>
      </c>
      <c r="B21" s="326" t="s">
        <v>1750</v>
      </c>
      <c r="C21" s="169" t="s">
        <v>460</v>
      </c>
      <c r="D21" s="171" t="s">
        <v>82</v>
      </c>
      <c r="E21" s="636">
        <v>46</v>
      </c>
      <c r="F21" s="845">
        <v>46</v>
      </c>
      <c r="G21" s="71">
        <f t="shared" si="1"/>
        <v>100</v>
      </c>
      <c r="H21" s="345">
        <v>28769</v>
      </c>
      <c r="I21" s="348">
        <v>28767</v>
      </c>
      <c r="J21" s="277">
        <f t="shared" ref="J21:J31" si="2">+I21/H21%</f>
        <v>99.993048072578119</v>
      </c>
    </row>
    <row r="22" spans="1:10" ht="30.75" customHeight="1" x14ac:dyDescent="0.2">
      <c r="A22" s="12">
        <v>3</v>
      </c>
      <c r="B22" s="342" t="s">
        <v>1751</v>
      </c>
      <c r="C22" s="169" t="s">
        <v>460</v>
      </c>
      <c r="D22" s="171" t="s">
        <v>1758</v>
      </c>
      <c r="E22" s="636">
        <v>47</v>
      </c>
      <c r="F22" s="845">
        <v>47</v>
      </c>
      <c r="G22" s="71">
        <f t="shared" si="1"/>
        <v>100</v>
      </c>
      <c r="H22" s="345">
        <v>1159</v>
      </c>
      <c r="I22" s="277">
        <v>1159</v>
      </c>
      <c r="J22" s="277">
        <f t="shared" si="2"/>
        <v>100</v>
      </c>
    </row>
    <row r="23" spans="1:10" ht="23.25" customHeight="1" x14ac:dyDescent="0.2">
      <c r="A23" s="12">
        <v>4</v>
      </c>
      <c r="B23" s="326" t="s">
        <v>1752</v>
      </c>
      <c r="C23" s="169" t="s">
        <v>460</v>
      </c>
      <c r="D23" s="171" t="s">
        <v>95</v>
      </c>
      <c r="E23" s="636">
        <v>1</v>
      </c>
      <c r="F23" s="845">
        <v>1</v>
      </c>
      <c r="G23" s="71">
        <f t="shared" si="1"/>
        <v>100</v>
      </c>
      <c r="H23" s="346">
        <v>2927</v>
      </c>
      <c r="I23" s="847">
        <v>2927</v>
      </c>
      <c r="J23" s="277">
        <f t="shared" si="2"/>
        <v>100</v>
      </c>
    </row>
    <row r="24" spans="1:10" ht="24" customHeight="1" x14ac:dyDescent="0.2">
      <c r="A24" s="12">
        <v>5</v>
      </c>
      <c r="B24" s="326" t="s">
        <v>1753</v>
      </c>
      <c r="C24" s="169" t="s">
        <v>460</v>
      </c>
      <c r="D24" s="171" t="s">
        <v>1080</v>
      </c>
      <c r="E24" s="636">
        <v>1</v>
      </c>
      <c r="F24" s="845">
        <v>1</v>
      </c>
      <c r="G24" s="71">
        <f t="shared" si="1"/>
        <v>100</v>
      </c>
      <c r="H24" s="346">
        <v>4970</v>
      </c>
      <c r="I24" s="847">
        <v>4970</v>
      </c>
      <c r="J24" s="277">
        <f t="shared" si="2"/>
        <v>100</v>
      </c>
    </row>
    <row r="25" spans="1:10" ht="33.75" customHeight="1" x14ac:dyDescent="0.2">
      <c r="A25" s="12">
        <v>6</v>
      </c>
      <c r="B25" s="326" t="s">
        <v>1757</v>
      </c>
      <c r="C25" s="169" t="s">
        <v>460</v>
      </c>
      <c r="D25" s="171" t="s">
        <v>1080</v>
      </c>
      <c r="E25" s="636">
        <v>1</v>
      </c>
      <c r="F25" s="845">
        <v>1</v>
      </c>
      <c r="G25" s="71">
        <f t="shared" si="1"/>
        <v>100</v>
      </c>
      <c r="H25" s="346">
        <v>3970</v>
      </c>
      <c r="I25" s="847">
        <v>3970</v>
      </c>
      <c r="J25" s="277">
        <f t="shared" si="2"/>
        <v>99.999999999999986</v>
      </c>
    </row>
    <row r="26" spans="1:10" ht="31.5" customHeight="1" x14ac:dyDescent="0.2">
      <c r="A26" s="12">
        <v>7</v>
      </c>
      <c r="B26" s="342" t="s">
        <v>1754</v>
      </c>
      <c r="C26" s="169" t="s">
        <v>460</v>
      </c>
      <c r="D26" s="171" t="s">
        <v>1759</v>
      </c>
      <c r="E26" s="636">
        <v>1</v>
      </c>
      <c r="F26" s="845">
        <v>1</v>
      </c>
      <c r="G26" s="71">
        <f t="shared" si="1"/>
        <v>100</v>
      </c>
      <c r="H26" s="346">
        <v>400</v>
      </c>
      <c r="I26" s="847">
        <v>400</v>
      </c>
      <c r="J26" s="277">
        <f t="shared" si="2"/>
        <v>100</v>
      </c>
    </row>
    <row r="27" spans="1:10" ht="24.75" customHeight="1" x14ac:dyDescent="0.2">
      <c r="A27" s="12">
        <v>8</v>
      </c>
      <c r="B27" s="326" t="s">
        <v>1755</v>
      </c>
      <c r="C27" s="169" t="s">
        <v>460</v>
      </c>
      <c r="D27" s="171" t="s">
        <v>470</v>
      </c>
      <c r="E27" s="636">
        <v>1</v>
      </c>
      <c r="F27" s="845">
        <v>1</v>
      </c>
      <c r="G27" s="71">
        <f t="shared" si="1"/>
        <v>100</v>
      </c>
      <c r="H27" s="346">
        <v>1000</v>
      </c>
      <c r="I27" s="847">
        <v>1000</v>
      </c>
      <c r="J27" s="277">
        <f t="shared" si="2"/>
        <v>100</v>
      </c>
    </row>
    <row r="28" spans="1:10" ht="29.25" customHeight="1" x14ac:dyDescent="0.2">
      <c r="A28" s="12">
        <v>9</v>
      </c>
      <c r="B28" s="326" t="s">
        <v>1756</v>
      </c>
      <c r="C28" s="169" t="s">
        <v>460</v>
      </c>
      <c r="D28" s="171" t="s">
        <v>461</v>
      </c>
      <c r="E28" s="636">
        <v>1</v>
      </c>
      <c r="F28" s="845">
        <v>1</v>
      </c>
      <c r="G28" s="71">
        <f t="shared" si="1"/>
        <v>100</v>
      </c>
      <c r="H28" s="345">
        <v>315</v>
      </c>
      <c r="I28" s="348">
        <v>315</v>
      </c>
      <c r="J28" s="277">
        <f t="shared" si="2"/>
        <v>100</v>
      </c>
    </row>
    <row r="29" spans="1:10" ht="21" customHeight="1" x14ac:dyDescent="0.2">
      <c r="A29" s="12">
        <v>10</v>
      </c>
      <c r="B29" s="300" t="s">
        <v>1749</v>
      </c>
      <c r="C29" s="169" t="s">
        <v>460</v>
      </c>
      <c r="D29" s="171" t="s">
        <v>459</v>
      </c>
      <c r="E29" s="636">
        <v>1</v>
      </c>
      <c r="F29" s="845">
        <v>1</v>
      </c>
      <c r="G29" s="71">
        <f t="shared" si="1"/>
        <v>100</v>
      </c>
      <c r="H29" s="345">
        <v>276</v>
      </c>
      <c r="I29" s="348">
        <v>276</v>
      </c>
      <c r="J29" s="277">
        <f t="shared" si="2"/>
        <v>100.00000000000001</v>
      </c>
    </row>
    <row r="30" spans="1:10" ht="26.25" customHeight="1" x14ac:dyDescent="0.2">
      <c r="A30" s="12">
        <v>11</v>
      </c>
      <c r="B30" s="326" t="s">
        <v>1760</v>
      </c>
      <c r="C30" s="169" t="s">
        <v>460</v>
      </c>
      <c r="D30" s="171" t="s">
        <v>459</v>
      </c>
      <c r="E30" s="636">
        <v>1</v>
      </c>
      <c r="F30" s="845">
        <v>1</v>
      </c>
      <c r="G30" s="71">
        <f t="shared" si="1"/>
        <v>100</v>
      </c>
      <c r="H30" s="345">
        <v>1069</v>
      </c>
      <c r="I30" s="348">
        <v>1069</v>
      </c>
      <c r="J30" s="277">
        <f t="shared" si="2"/>
        <v>100</v>
      </c>
    </row>
    <row r="31" spans="1:10" ht="21" customHeight="1" x14ac:dyDescent="0.2">
      <c r="A31" s="12">
        <v>12</v>
      </c>
      <c r="B31" s="326" t="s">
        <v>471</v>
      </c>
      <c r="C31" s="169" t="s">
        <v>460</v>
      </c>
      <c r="D31" s="171" t="s">
        <v>459</v>
      </c>
      <c r="E31" s="636">
        <v>12</v>
      </c>
      <c r="F31" s="845">
        <v>1</v>
      </c>
      <c r="G31" s="71">
        <f t="shared" si="1"/>
        <v>8.3333333333333321</v>
      </c>
      <c r="H31" s="347">
        <f>48512+827</f>
        <v>49339</v>
      </c>
      <c r="I31" s="544">
        <v>49339</v>
      </c>
      <c r="J31" s="277">
        <f t="shared" si="2"/>
        <v>100</v>
      </c>
    </row>
    <row r="32" spans="1:10" ht="18.75" customHeight="1" x14ac:dyDescent="0.25">
      <c r="A32" s="504"/>
      <c r="B32" s="391" t="s">
        <v>472</v>
      </c>
      <c r="C32" s="505"/>
      <c r="D32" s="503"/>
      <c r="E32" s="748"/>
      <c r="F32" s="506"/>
      <c r="G32" s="506"/>
      <c r="H32" s="41">
        <f>SUM(H33:H45)</f>
        <v>799137</v>
      </c>
      <c r="I32" s="306">
        <f>SUM(I33:I45)</f>
        <v>798762</v>
      </c>
      <c r="J32" s="306">
        <f>+I32/H32*100</f>
        <v>99.953074378986329</v>
      </c>
    </row>
    <row r="33" spans="1:10" ht="27" customHeight="1" x14ac:dyDescent="0.2">
      <c r="A33" s="43">
        <v>1</v>
      </c>
      <c r="B33" s="19" t="s">
        <v>1443</v>
      </c>
      <c r="C33" s="164" t="s">
        <v>46</v>
      </c>
      <c r="D33" s="172" t="s">
        <v>1442</v>
      </c>
      <c r="E33" s="38">
        <v>120</v>
      </c>
      <c r="F33" s="591">
        <v>100</v>
      </c>
      <c r="G33" s="71">
        <f t="shared" si="1"/>
        <v>83.333333333333343</v>
      </c>
      <c r="H33" s="38">
        <f>4585+2015</f>
        <v>6600</v>
      </c>
      <c r="I33" s="277">
        <v>6600</v>
      </c>
      <c r="J33" s="273">
        <f t="shared" ref="J33:J45" si="3">I33/H33*100</f>
        <v>100</v>
      </c>
    </row>
    <row r="34" spans="1:10" ht="22.5" customHeight="1" x14ac:dyDescent="0.2">
      <c r="A34" s="43">
        <v>2</v>
      </c>
      <c r="B34" s="19" t="s">
        <v>473</v>
      </c>
      <c r="C34" s="164" t="s">
        <v>46</v>
      </c>
      <c r="D34" s="172" t="s">
        <v>2010</v>
      </c>
      <c r="E34" s="38">
        <v>200</v>
      </c>
      <c r="F34" s="591">
        <v>150</v>
      </c>
      <c r="G34" s="71">
        <f t="shared" si="1"/>
        <v>75</v>
      </c>
      <c r="H34" s="38">
        <f>2061+2015+931</f>
        <v>5007</v>
      </c>
      <c r="I34" s="277">
        <v>5007</v>
      </c>
      <c r="J34" s="273">
        <f t="shared" si="3"/>
        <v>100</v>
      </c>
    </row>
    <row r="35" spans="1:10" ht="26.25" customHeight="1" x14ac:dyDescent="0.2">
      <c r="A35" s="43">
        <v>3</v>
      </c>
      <c r="B35" s="19" t="s">
        <v>474</v>
      </c>
      <c r="C35" s="164" t="s">
        <v>46</v>
      </c>
      <c r="D35" s="172" t="s">
        <v>1442</v>
      </c>
      <c r="E35" s="38">
        <v>100</v>
      </c>
      <c r="F35" s="591">
        <v>80</v>
      </c>
      <c r="G35" s="71">
        <f t="shared" si="1"/>
        <v>80</v>
      </c>
      <c r="H35" s="38">
        <f>2061+2015+933</f>
        <v>5009</v>
      </c>
      <c r="I35" s="277">
        <v>5009</v>
      </c>
      <c r="J35" s="274">
        <f t="shared" si="3"/>
        <v>100</v>
      </c>
    </row>
    <row r="36" spans="1:10" ht="28.5" customHeight="1" x14ac:dyDescent="0.2">
      <c r="A36" s="43">
        <v>4</v>
      </c>
      <c r="B36" s="19" t="s">
        <v>475</v>
      </c>
      <c r="C36" s="164" t="s">
        <v>46</v>
      </c>
      <c r="D36" s="172" t="s">
        <v>42</v>
      </c>
      <c r="E36" s="38">
        <v>30</v>
      </c>
      <c r="F36" s="591">
        <v>17</v>
      </c>
      <c r="G36" s="71">
        <f t="shared" si="1"/>
        <v>56.666666666666664</v>
      </c>
      <c r="H36" s="38">
        <f>20610+2015</f>
        <v>22625</v>
      </c>
      <c r="I36" s="277">
        <v>22625</v>
      </c>
      <c r="J36" s="274">
        <f t="shared" si="3"/>
        <v>100</v>
      </c>
    </row>
    <row r="37" spans="1:10" ht="21.75" customHeight="1" x14ac:dyDescent="0.2">
      <c r="A37" s="43">
        <v>5</v>
      </c>
      <c r="B37" s="19" t="s">
        <v>476</v>
      </c>
      <c r="C37" s="164" t="s">
        <v>46</v>
      </c>
      <c r="D37" s="172" t="s">
        <v>477</v>
      </c>
      <c r="E37" s="38">
        <v>9</v>
      </c>
      <c r="F37" s="591">
        <v>9</v>
      </c>
      <c r="G37" s="71">
        <f t="shared" si="1"/>
        <v>100</v>
      </c>
      <c r="H37" s="38">
        <f>6183+2015</f>
        <v>8198</v>
      </c>
      <c r="I37" s="273">
        <v>8198</v>
      </c>
      <c r="J37" s="274">
        <f t="shared" si="3"/>
        <v>100</v>
      </c>
    </row>
    <row r="38" spans="1:10" ht="25.5" customHeight="1" x14ac:dyDescent="0.2">
      <c r="A38" s="43">
        <v>6</v>
      </c>
      <c r="B38" s="19" t="s">
        <v>478</v>
      </c>
      <c r="C38" s="164" t="s">
        <v>46</v>
      </c>
      <c r="D38" s="172" t="s">
        <v>411</v>
      </c>
      <c r="E38" s="38">
        <v>100</v>
      </c>
      <c r="F38" s="591">
        <v>0</v>
      </c>
      <c r="G38" s="71">
        <f t="shared" si="1"/>
        <v>0</v>
      </c>
      <c r="H38" s="38">
        <v>1000</v>
      </c>
      <c r="I38" s="273">
        <v>0</v>
      </c>
      <c r="J38" s="273">
        <f t="shared" si="3"/>
        <v>0</v>
      </c>
    </row>
    <row r="39" spans="1:10" ht="26.25" customHeight="1" x14ac:dyDescent="0.2">
      <c r="A39" s="43">
        <v>7</v>
      </c>
      <c r="B39" s="19" t="s">
        <v>479</v>
      </c>
      <c r="C39" s="164" t="s">
        <v>46</v>
      </c>
      <c r="D39" s="172" t="s">
        <v>411</v>
      </c>
      <c r="E39" s="38">
        <v>100</v>
      </c>
      <c r="F39" s="591">
        <v>100</v>
      </c>
      <c r="G39" s="71">
        <f t="shared" si="1"/>
        <v>100</v>
      </c>
      <c r="H39" s="38">
        <f>3092+2015</f>
        <v>5107</v>
      </c>
      <c r="I39" s="277">
        <v>5132</v>
      </c>
      <c r="J39" s="274">
        <f t="shared" si="3"/>
        <v>100.48952418249462</v>
      </c>
    </row>
    <row r="40" spans="1:10" ht="19.5" customHeight="1" x14ac:dyDescent="0.2">
      <c r="A40" s="43">
        <v>8</v>
      </c>
      <c r="B40" s="19" t="s">
        <v>480</v>
      </c>
      <c r="C40" s="164" t="s">
        <v>46</v>
      </c>
      <c r="D40" s="172" t="s">
        <v>481</v>
      </c>
      <c r="E40" s="38">
        <v>50</v>
      </c>
      <c r="F40" s="591">
        <v>50</v>
      </c>
      <c r="G40" s="71">
        <f t="shared" si="1"/>
        <v>100</v>
      </c>
      <c r="H40" s="38">
        <f>3092+2015</f>
        <v>5107</v>
      </c>
      <c r="I40" s="273">
        <v>5207</v>
      </c>
      <c r="J40" s="274">
        <f t="shared" si="3"/>
        <v>101.95809672997846</v>
      </c>
    </row>
    <row r="41" spans="1:10" ht="18.75" customHeight="1" x14ac:dyDescent="0.2">
      <c r="A41" s="43">
        <v>9</v>
      </c>
      <c r="B41" s="40" t="s">
        <v>482</v>
      </c>
      <c r="C41" s="164" t="s">
        <v>46</v>
      </c>
      <c r="D41" s="172" t="s">
        <v>459</v>
      </c>
      <c r="E41" s="38">
        <v>4</v>
      </c>
      <c r="F41" s="591">
        <v>2</v>
      </c>
      <c r="G41" s="71">
        <f t="shared" si="1"/>
        <v>50</v>
      </c>
      <c r="H41" s="38">
        <f>2061+2015</f>
        <v>4076</v>
      </c>
      <c r="I41" s="273">
        <v>4276</v>
      </c>
      <c r="J41" s="274">
        <f t="shared" si="3"/>
        <v>104.90677134445534</v>
      </c>
    </row>
    <row r="42" spans="1:10" ht="18.75" customHeight="1" x14ac:dyDescent="0.2">
      <c r="A42" s="43">
        <v>10</v>
      </c>
      <c r="B42" s="40" t="s">
        <v>483</v>
      </c>
      <c r="C42" s="164" t="s">
        <v>46</v>
      </c>
      <c r="D42" s="172" t="s">
        <v>42</v>
      </c>
      <c r="E42" s="38">
        <v>8</v>
      </c>
      <c r="F42" s="591">
        <v>8</v>
      </c>
      <c r="G42" s="71">
        <f t="shared" si="1"/>
        <v>100</v>
      </c>
      <c r="H42" s="38">
        <f>4122+2015</f>
        <v>6137</v>
      </c>
      <c r="I42" s="273">
        <v>6337</v>
      </c>
      <c r="J42" s="274">
        <f t="shared" si="3"/>
        <v>103.25892129705068</v>
      </c>
    </row>
    <row r="43" spans="1:10" ht="18.75" customHeight="1" x14ac:dyDescent="0.2">
      <c r="A43" s="43">
        <v>11</v>
      </c>
      <c r="B43" s="40" t="s">
        <v>484</v>
      </c>
      <c r="C43" s="164" t="s">
        <v>46</v>
      </c>
      <c r="D43" s="172" t="s">
        <v>42</v>
      </c>
      <c r="E43" s="63">
        <v>8</v>
      </c>
      <c r="F43" s="591">
        <v>3</v>
      </c>
      <c r="G43" s="71">
        <f t="shared" si="1"/>
        <v>37.5</v>
      </c>
      <c r="H43" s="38">
        <f>8244+2015</f>
        <v>10259</v>
      </c>
      <c r="I43" s="273">
        <v>10359</v>
      </c>
      <c r="J43" s="274">
        <f t="shared" si="3"/>
        <v>100.97475387464665</v>
      </c>
    </row>
    <row r="44" spans="1:10" ht="18.75" customHeight="1" x14ac:dyDescent="0.2">
      <c r="A44" s="43">
        <v>12</v>
      </c>
      <c r="B44" s="40" t="s">
        <v>485</v>
      </c>
      <c r="C44" s="164" t="s">
        <v>46</v>
      </c>
      <c r="D44" s="172" t="s">
        <v>459</v>
      </c>
      <c r="E44" s="38">
        <v>200</v>
      </c>
      <c r="F44" s="591">
        <v>200</v>
      </c>
      <c r="G44" s="71">
        <f t="shared" si="1"/>
        <v>100</v>
      </c>
      <c r="H44" s="38">
        <v>100000</v>
      </c>
      <c r="I44" s="273">
        <v>100000</v>
      </c>
      <c r="J44" s="274">
        <f t="shared" si="3"/>
        <v>100</v>
      </c>
    </row>
    <row r="45" spans="1:10" ht="18.75" customHeight="1" x14ac:dyDescent="0.2">
      <c r="A45" s="43">
        <v>13</v>
      </c>
      <c r="B45" s="19" t="s">
        <v>486</v>
      </c>
      <c r="C45" s="164" t="s">
        <v>46</v>
      </c>
      <c r="D45" s="172" t="s">
        <v>456</v>
      </c>
      <c r="E45" s="38">
        <v>19</v>
      </c>
      <c r="F45" s="591">
        <v>19</v>
      </c>
      <c r="G45" s="71">
        <f t="shared" si="1"/>
        <v>100</v>
      </c>
      <c r="H45" s="38">
        <f>596644+23368</f>
        <v>620012</v>
      </c>
      <c r="I45" s="273">
        <v>620012</v>
      </c>
      <c r="J45" s="274">
        <f t="shared" si="3"/>
        <v>100</v>
      </c>
    </row>
    <row r="46" spans="1:10" x14ac:dyDescent="0.2">
      <c r="A46" s="3"/>
      <c r="C46" s="3"/>
      <c r="I46" s="343"/>
    </row>
    <row r="47" spans="1:10" x14ac:dyDescent="0.2">
      <c r="A47" s="3"/>
      <c r="C47" s="3"/>
      <c r="I47" s="343"/>
    </row>
    <row r="48" spans="1:10" x14ac:dyDescent="0.2">
      <c r="A48" s="3"/>
      <c r="C48" s="3"/>
      <c r="I48" s="343"/>
    </row>
    <row r="49" spans="1:9" x14ac:dyDescent="0.2">
      <c r="A49" s="3"/>
      <c r="C49" s="3"/>
      <c r="I49" s="343"/>
    </row>
    <row r="50" spans="1:9" x14ac:dyDescent="0.2">
      <c r="A50" s="3"/>
      <c r="C50" s="3"/>
      <c r="I50" s="343"/>
    </row>
    <row r="51" spans="1:9" x14ac:dyDescent="0.2">
      <c r="A51" s="3"/>
      <c r="C51" s="3"/>
      <c r="I51" s="343"/>
    </row>
    <row r="52" spans="1:9" x14ac:dyDescent="0.2">
      <c r="A52" s="3"/>
      <c r="C52" s="3"/>
      <c r="I52" s="343"/>
    </row>
    <row r="53" spans="1:9" x14ac:dyDescent="0.2">
      <c r="A53" s="3"/>
      <c r="C53" s="3"/>
      <c r="I53" s="343"/>
    </row>
    <row r="54" spans="1:9" x14ac:dyDescent="0.2">
      <c r="A54" s="3"/>
      <c r="C54" s="3"/>
      <c r="I54" s="343"/>
    </row>
    <row r="55" spans="1:9" x14ac:dyDescent="0.2">
      <c r="A55" s="3"/>
      <c r="C55" s="3"/>
      <c r="I55" s="343"/>
    </row>
    <row r="56" spans="1:9" x14ac:dyDescent="0.2">
      <c r="A56" s="3"/>
      <c r="C56" s="3"/>
      <c r="I56" s="343"/>
    </row>
    <row r="57" spans="1:9" x14ac:dyDescent="0.2">
      <c r="A57" s="3"/>
      <c r="C57" s="3"/>
      <c r="I57" s="343"/>
    </row>
    <row r="58" spans="1:9" x14ac:dyDescent="0.2">
      <c r="A58" s="3"/>
      <c r="C58" s="3"/>
      <c r="I58" s="343"/>
    </row>
    <row r="59" spans="1:9" x14ac:dyDescent="0.2">
      <c r="A59" s="3"/>
      <c r="C59" s="3"/>
      <c r="I59" s="343"/>
    </row>
    <row r="60" spans="1:9" x14ac:dyDescent="0.2">
      <c r="A60" s="3"/>
      <c r="C60" s="3"/>
      <c r="I60" s="343"/>
    </row>
    <row r="61" spans="1:9" x14ac:dyDescent="0.2">
      <c r="I61" s="343"/>
    </row>
    <row r="62" spans="1:9" x14ac:dyDescent="0.2">
      <c r="I62" s="343"/>
    </row>
    <row r="63" spans="1:9" x14ac:dyDescent="0.2">
      <c r="I63" s="343"/>
    </row>
    <row r="64" spans="1:9" x14ac:dyDescent="0.2">
      <c r="I64" s="343"/>
    </row>
    <row r="65" spans="9:9" x14ac:dyDescent="0.2">
      <c r="I65" s="343"/>
    </row>
    <row r="66" spans="9:9" x14ac:dyDescent="0.2">
      <c r="I66" s="343"/>
    </row>
    <row r="67" spans="9:9" x14ac:dyDescent="0.2">
      <c r="I67" s="343"/>
    </row>
    <row r="68" spans="9:9" x14ac:dyDescent="0.2">
      <c r="I68" s="343"/>
    </row>
    <row r="69" spans="9:9" x14ac:dyDescent="0.2">
      <c r="I69" s="343"/>
    </row>
    <row r="70" spans="9:9" x14ac:dyDescent="0.2">
      <c r="I70" s="343"/>
    </row>
    <row r="71" spans="9:9" x14ac:dyDescent="0.2">
      <c r="I71" s="343"/>
    </row>
    <row r="72" spans="9:9" x14ac:dyDescent="0.2">
      <c r="I72" s="343"/>
    </row>
    <row r="73" spans="9:9" x14ac:dyDescent="0.2">
      <c r="I73" s="343"/>
    </row>
  </sheetData>
  <mergeCells count="9">
    <mergeCell ref="A3:J3"/>
    <mergeCell ref="A4:J4"/>
    <mergeCell ref="A7:B7"/>
    <mergeCell ref="A2:B2"/>
    <mergeCell ref="A5:A6"/>
    <mergeCell ref="B5:B6"/>
    <mergeCell ref="C5:C6"/>
    <mergeCell ref="D5:G5"/>
    <mergeCell ref="H5:J5"/>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6" tint="0.79998168889431442"/>
  </sheetPr>
  <dimension ref="A2:K97"/>
  <sheetViews>
    <sheetView view="pageBreakPreview" topLeftCell="A16" zoomScale="60" zoomScaleNormal="100" workbookViewId="0">
      <selection activeCell="E7" sqref="E7:J49"/>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65"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1" ht="18" customHeight="1" x14ac:dyDescent="0.2">
      <c r="A2" s="982" t="s">
        <v>22</v>
      </c>
      <c r="B2" s="983"/>
      <c r="C2" s="1"/>
      <c r="D2" s="150"/>
      <c r="E2" s="61"/>
      <c r="F2" s="150"/>
      <c r="G2" s="150"/>
      <c r="H2" s="271"/>
      <c r="I2" s="271"/>
      <c r="J2" s="2"/>
    </row>
    <row r="3" spans="1:11" ht="26.25" customHeight="1" x14ac:dyDescent="0.2">
      <c r="A3" s="987" t="s">
        <v>9</v>
      </c>
      <c r="B3" s="988"/>
      <c r="C3" s="988"/>
      <c r="D3" s="988"/>
      <c r="E3" s="988"/>
      <c r="F3" s="988"/>
      <c r="G3" s="988"/>
      <c r="H3" s="988"/>
      <c r="I3" s="988"/>
      <c r="J3" s="989"/>
    </row>
    <row r="4" spans="1:11" ht="14.25" customHeight="1" x14ac:dyDescent="0.2">
      <c r="A4" s="987" t="s">
        <v>8</v>
      </c>
      <c r="B4" s="988"/>
      <c r="C4" s="988"/>
      <c r="D4" s="988"/>
      <c r="E4" s="988"/>
      <c r="F4" s="988"/>
      <c r="G4" s="988"/>
      <c r="H4" s="988"/>
      <c r="I4" s="988"/>
      <c r="J4" s="989"/>
    </row>
    <row r="5" spans="1:11" ht="18" customHeight="1" x14ac:dyDescent="0.2">
      <c r="A5" s="1007" t="s">
        <v>0</v>
      </c>
      <c r="B5" s="1007" t="s">
        <v>1</v>
      </c>
      <c r="C5" s="984" t="s">
        <v>2</v>
      </c>
      <c r="D5" s="990" t="s">
        <v>1440</v>
      </c>
      <c r="E5" s="990"/>
      <c r="F5" s="990"/>
      <c r="G5" s="990"/>
      <c r="H5" s="990" t="s">
        <v>1441</v>
      </c>
      <c r="I5" s="990"/>
      <c r="J5" s="990"/>
    </row>
    <row r="6" spans="1:11" ht="24" customHeight="1" x14ac:dyDescent="0.2">
      <c r="A6" s="1008"/>
      <c r="B6" s="1008"/>
      <c r="C6" s="984"/>
      <c r="D6" s="4" t="s">
        <v>3</v>
      </c>
      <c r="E6" s="4" t="s">
        <v>4</v>
      </c>
      <c r="F6" s="270" t="s">
        <v>1298</v>
      </c>
      <c r="G6" s="270" t="s">
        <v>1439</v>
      </c>
      <c r="H6" s="4" t="s">
        <v>1297</v>
      </c>
      <c r="I6" s="270" t="s">
        <v>1298</v>
      </c>
      <c r="J6" s="270" t="s">
        <v>1439</v>
      </c>
    </row>
    <row r="7" spans="1:11" ht="18.75" customHeight="1" x14ac:dyDescent="0.2">
      <c r="A7" s="513" t="s">
        <v>487</v>
      </c>
      <c r="B7" s="68"/>
      <c r="C7" s="471"/>
      <c r="D7" s="471"/>
      <c r="E7" s="28"/>
      <c r="F7" s="28"/>
      <c r="G7" s="28"/>
      <c r="H7" s="264">
        <f>+H8+H35</f>
        <v>1852626</v>
      </c>
      <c r="I7" s="360">
        <f>+I8+I35</f>
        <v>1276366</v>
      </c>
      <c r="J7" s="360">
        <f>+I7/H7*100</f>
        <v>68.894963149604934</v>
      </c>
      <c r="K7" s="507"/>
    </row>
    <row r="8" spans="1:11" ht="16.5" customHeight="1" x14ac:dyDescent="0.2">
      <c r="A8" s="514" t="s">
        <v>2019</v>
      </c>
      <c r="B8" s="524"/>
      <c r="C8" s="525"/>
      <c r="D8" s="525"/>
      <c r="E8" s="882"/>
      <c r="F8" s="882"/>
      <c r="G8" s="882"/>
      <c r="H8" s="526">
        <f>+H9+H13+H17+H22+H23+H24+H25+H26+H27+H28</f>
        <v>555788</v>
      </c>
      <c r="I8" s="392">
        <f>+I9+I13+I17+I22+I23+I24+I25+I26+I27+I28</f>
        <v>382910</v>
      </c>
      <c r="J8" s="384">
        <f>+I8/H8*100</f>
        <v>68.894974342735011</v>
      </c>
      <c r="K8" s="508"/>
    </row>
    <row r="9" spans="1:11" ht="27" customHeight="1" x14ac:dyDescent="0.2">
      <c r="A9" s="363">
        <v>1</v>
      </c>
      <c r="B9" s="528" t="s">
        <v>1762</v>
      </c>
      <c r="C9" s="471"/>
      <c r="D9" s="471"/>
      <c r="E9" s="28"/>
      <c r="F9" s="28"/>
      <c r="G9" s="28"/>
      <c r="H9" s="32">
        <f>SUM(H10:H12)</f>
        <v>198415</v>
      </c>
      <c r="I9" s="385">
        <f>SUM(I10:I12)</f>
        <v>137081</v>
      </c>
      <c r="J9" s="385">
        <f>+I9/H9*100</f>
        <v>69.08802257893808</v>
      </c>
      <c r="K9" s="509"/>
    </row>
    <row r="10" spans="1:11" ht="18.75" customHeight="1" x14ac:dyDescent="0.2">
      <c r="A10" s="363"/>
      <c r="B10" s="515" t="s">
        <v>1763</v>
      </c>
      <c r="C10" s="520" t="s">
        <v>40</v>
      </c>
      <c r="D10" s="522" t="s">
        <v>488</v>
      </c>
      <c r="E10" s="470">
        <v>1400</v>
      </c>
      <c r="F10" s="470">
        <v>1113</v>
      </c>
      <c r="G10" s="130">
        <f>+F10/E10*100</f>
        <v>79.5</v>
      </c>
      <c r="H10" s="470">
        <v>91148</v>
      </c>
      <c r="I10" s="130">
        <v>63180</v>
      </c>
      <c r="J10" s="130">
        <f>+I10/H10*100</f>
        <v>69.315837977794359</v>
      </c>
      <c r="K10" s="510"/>
    </row>
    <row r="11" spans="1:11" ht="18.75" customHeight="1" x14ac:dyDescent="0.2">
      <c r="A11" s="363"/>
      <c r="B11" s="515" t="s">
        <v>1764</v>
      </c>
      <c r="C11" s="520" t="s">
        <v>40</v>
      </c>
      <c r="D11" s="162" t="s">
        <v>489</v>
      </c>
      <c r="E11" s="470">
        <v>400</v>
      </c>
      <c r="F11" s="470">
        <v>399</v>
      </c>
      <c r="G11" s="130">
        <f t="shared" ref="G11:G26" si="0">+F11/E11*100</f>
        <v>99.75</v>
      </c>
      <c r="H11" s="470">
        <v>73920</v>
      </c>
      <c r="I11" s="130">
        <v>50926</v>
      </c>
      <c r="J11" s="130">
        <f t="shared" ref="J11:J26" si="1">+I11/H11*100</f>
        <v>68.893398268398272</v>
      </c>
      <c r="K11" s="510"/>
    </row>
    <row r="12" spans="1:11" ht="18.75" customHeight="1" x14ac:dyDescent="0.2">
      <c r="A12" s="363"/>
      <c r="B12" s="515" t="s">
        <v>2262</v>
      </c>
      <c r="C12" s="520" t="s">
        <v>40</v>
      </c>
      <c r="D12" s="522" t="s">
        <v>490</v>
      </c>
      <c r="E12" s="470">
        <v>36</v>
      </c>
      <c r="F12" s="470">
        <v>55</v>
      </c>
      <c r="G12" s="130">
        <f t="shared" si="0"/>
        <v>152.77777777777777</v>
      </c>
      <c r="H12" s="470">
        <v>33347</v>
      </c>
      <c r="I12" s="130">
        <v>22975</v>
      </c>
      <c r="J12" s="130">
        <f t="shared" si="1"/>
        <v>68.896752331544064</v>
      </c>
      <c r="K12" s="510"/>
    </row>
    <row r="13" spans="1:11" ht="18.75" customHeight="1" x14ac:dyDescent="0.2">
      <c r="A13" s="363">
        <v>2</v>
      </c>
      <c r="B13" s="517" t="s">
        <v>491</v>
      </c>
      <c r="C13" s="520"/>
      <c r="D13" s="522"/>
      <c r="E13" s="470"/>
      <c r="F13" s="470"/>
      <c r="G13" s="470"/>
      <c r="H13" s="32">
        <f>SUM(H14:H16)</f>
        <v>90595</v>
      </c>
      <c r="I13" s="385">
        <f>SUM(I14:I16)</f>
        <v>62031</v>
      </c>
      <c r="J13" s="385">
        <f t="shared" si="1"/>
        <v>68.470666151553615</v>
      </c>
      <c r="K13" s="510"/>
    </row>
    <row r="14" spans="1:11" ht="40.5" customHeight="1" x14ac:dyDescent="0.2">
      <c r="A14" s="363"/>
      <c r="B14" s="515" t="s">
        <v>1765</v>
      </c>
      <c r="C14" s="520" t="s">
        <v>40</v>
      </c>
      <c r="D14" s="522" t="s">
        <v>492</v>
      </c>
      <c r="E14" s="883">
        <v>7500</v>
      </c>
      <c r="F14" s="470">
        <v>6015</v>
      </c>
      <c r="G14" s="130">
        <f t="shared" si="0"/>
        <v>80.2</v>
      </c>
      <c r="H14" s="470">
        <v>44462</v>
      </c>
      <c r="I14" s="130">
        <v>30250</v>
      </c>
      <c r="J14" s="130">
        <f t="shared" si="1"/>
        <v>68.035625927758531</v>
      </c>
      <c r="K14" s="510"/>
    </row>
    <row r="15" spans="1:11" ht="40.5" customHeight="1" x14ac:dyDescent="0.2">
      <c r="A15" s="363"/>
      <c r="B15" s="515" t="s">
        <v>1766</v>
      </c>
      <c r="C15" s="520" t="s">
        <v>40</v>
      </c>
      <c r="D15" s="162" t="s">
        <v>493</v>
      </c>
      <c r="E15" s="883">
        <v>120</v>
      </c>
      <c r="F15" s="470">
        <v>358</v>
      </c>
      <c r="G15" s="130">
        <f t="shared" si="0"/>
        <v>298.33333333333331</v>
      </c>
      <c r="H15" s="470">
        <v>34461</v>
      </c>
      <c r="I15" s="130">
        <v>23740</v>
      </c>
      <c r="J15" s="130">
        <f t="shared" si="1"/>
        <v>68.889469255099968</v>
      </c>
      <c r="K15" s="510"/>
    </row>
    <row r="16" spans="1:11" ht="65.25" customHeight="1" x14ac:dyDescent="0.2">
      <c r="A16" s="363"/>
      <c r="B16" s="515" t="s">
        <v>1767</v>
      </c>
      <c r="C16" s="520" t="s">
        <v>40</v>
      </c>
      <c r="D16" s="162" t="s">
        <v>494</v>
      </c>
      <c r="E16" s="883">
        <v>2500</v>
      </c>
      <c r="F16" s="470">
        <v>2005</v>
      </c>
      <c r="G16" s="130">
        <f t="shared" si="0"/>
        <v>80.2</v>
      </c>
      <c r="H16" s="470">
        <v>11672</v>
      </c>
      <c r="I16" s="130">
        <v>8041</v>
      </c>
      <c r="J16" s="130">
        <f t="shared" si="1"/>
        <v>68.891363947909525</v>
      </c>
      <c r="K16" s="510"/>
    </row>
    <row r="17" spans="1:11" ht="18.75" customHeight="1" x14ac:dyDescent="0.2">
      <c r="A17" s="363">
        <v>3</v>
      </c>
      <c r="B17" s="517" t="s">
        <v>495</v>
      </c>
      <c r="C17" s="520"/>
      <c r="D17" s="522"/>
      <c r="E17" s="470"/>
      <c r="F17" s="470"/>
      <c r="G17" s="470"/>
      <c r="H17" s="32">
        <f>SUM(H18:H20)</f>
        <v>40573</v>
      </c>
      <c r="I17" s="385">
        <f>SUM(I18:I20)</f>
        <v>27953</v>
      </c>
      <c r="J17" s="385">
        <f t="shared" si="1"/>
        <v>68.895570946195747</v>
      </c>
      <c r="K17" s="510"/>
    </row>
    <row r="18" spans="1:11" ht="18.75" customHeight="1" x14ac:dyDescent="0.2">
      <c r="A18" s="357"/>
      <c r="B18" s="518" t="s">
        <v>1768</v>
      </c>
      <c r="C18" s="520" t="s">
        <v>40</v>
      </c>
      <c r="D18" s="522" t="s">
        <v>489</v>
      </c>
      <c r="E18" s="470">
        <v>9</v>
      </c>
      <c r="F18" s="470">
        <v>1</v>
      </c>
      <c r="G18" s="130">
        <f t="shared" si="0"/>
        <v>11.111111111111111</v>
      </c>
      <c r="H18" s="470">
        <v>10560</v>
      </c>
      <c r="I18" s="130">
        <v>7275</v>
      </c>
      <c r="J18" s="130">
        <f t="shared" si="1"/>
        <v>68.892045454545453</v>
      </c>
      <c r="K18" s="510"/>
    </row>
    <row r="19" spans="1:11" ht="18.75" customHeight="1" x14ac:dyDescent="0.2">
      <c r="A19" s="357"/>
      <c r="B19" s="515" t="s">
        <v>1769</v>
      </c>
      <c r="C19" s="520" t="s">
        <v>40</v>
      </c>
      <c r="D19" s="522" t="s">
        <v>493</v>
      </c>
      <c r="E19" s="470">
        <v>12</v>
      </c>
      <c r="F19" s="470">
        <v>11</v>
      </c>
      <c r="G19" s="130">
        <f t="shared" si="0"/>
        <v>91.666666666666657</v>
      </c>
      <c r="H19" s="470">
        <v>8893</v>
      </c>
      <c r="I19" s="130">
        <v>6127</v>
      </c>
      <c r="J19" s="130">
        <f t="shared" si="1"/>
        <v>68.896885190599349</v>
      </c>
      <c r="K19" s="510"/>
    </row>
    <row r="20" spans="1:11" ht="18.75" customHeight="1" x14ac:dyDescent="0.2">
      <c r="A20" s="357"/>
      <c r="B20" s="518" t="s">
        <v>2020</v>
      </c>
      <c r="C20" s="520" t="s">
        <v>40</v>
      </c>
      <c r="D20" s="522" t="s">
        <v>470</v>
      </c>
      <c r="E20" s="470">
        <v>2</v>
      </c>
      <c r="F20" s="470">
        <v>1</v>
      </c>
      <c r="G20" s="130">
        <f t="shared" si="0"/>
        <v>50</v>
      </c>
      <c r="H20" s="470">
        <v>21120</v>
      </c>
      <c r="I20" s="130">
        <v>14551</v>
      </c>
      <c r="J20" s="130">
        <f t="shared" si="1"/>
        <v>68.896780303030297</v>
      </c>
      <c r="K20" s="510"/>
    </row>
    <row r="21" spans="1:11" ht="18.75" customHeight="1" x14ac:dyDescent="0.2">
      <c r="A21" s="357"/>
      <c r="B21" s="515" t="s">
        <v>1770</v>
      </c>
      <c r="C21" s="520" t="s">
        <v>40</v>
      </c>
      <c r="D21" s="522" t="s">
        <v>470</v>
      </c>
      <c r="E21" s="470">
        <v>3</v>
      </c>
      <c r="F21" s="470"/>
      <c r="G21" s="470"/>
      <c r="H21" s="470"/>
      <c r="I21" s="470"/>
      <c r="J21" s="470"/>
      <c r="K21" s="510"/>
    </row>
    <row r="22" spans="1:11" ht="18.75" customHeight="1" x14ac:dyDescent="0.2">
      <c r="A22" s="363">
        <v>4</v>
      </c>
      <c r="B22" s="515" t="s">
        <v>496</v>
      </c>
      <c r="C22" s="520" t="s">
        <v>40</v>
      </c>
      <c r="D22" s="162" t="s">
        <v>497</v>
      </c>
      <c r="E22" s="470">
        <v>12</v>
      </c>
      <c r="F22" s="470">
        <v>12</v>
      </c>
      <c r="G22" s="130">
        <f t="shared" si="0"/>
        <v>100</v>
      </c>
      <c r="H22" s="470">
        <v>27789</v>
      </c>
      <c r="I22" s="130">
        <v>20700</v>
      </c>
      <c r="J22" s="130">
        <f t="shared" si="1"/>
        <v>74.489906077944511</v>
      </c>
      <c r="K22" s="510"/>
    </row>
    <row r="23" spans="1:11" ht="18.75" customHeight="1" x14ac:dyDescent="0.2">
      <c r="A23" s="363">
        <v>5</v>
      </c>
      <c r="B23" s="515" t="s">
        <v>498</v>
      </c>
      <c r="C23" s="520" t="s">
        <v>40</v>
      </c>
      <c r="D23" s="522" t="s">
        <v>497</v>
      </c>
      <c r="E23" s="470">
        <v>4</v>
      </c>
      <c r="F23" s="470">
        <v>4</v>
      </c>
      <c r="G23" s="130">
        <f t="shared" si="0"/>
        <v>100</v>
      </c>
      <c r="H23" s="470">
        <v>8893</v>
      </c>
      <c r="I23" s="130">
        <v>6127</v>
      </c>
      <c r="J23" s="130">
        <f t="shared" si="1"/>
        <v>68.896885190599349</v>
      </c>
      <c r="K23" s="510"/>
    </row>
    <row r="24" spans="1:11" ht="25.5" customHeight="1" x14ac:dyDescent="0.2">
      <c r="A24" s="363">
        <v>6</v>
      </c>
      <c r="B24" s="515" t="s">
        <v>1771</v>
      </c>
      <c r="C24" s="520" t="s">
        <v>40</v>
      </c>
      <c r="D24" s="522" t="s">
        <v>499</v>
      </c>
      <c r="E24" s="470">
        <v>12</v>
      </c>
      <c r="F24" s="470">
        <v>16</v>
      </c>
      <c r="G24" s="130">
        <f t="shared" si="0"/>
        <v>133.33333333333331</v>
      </c>
      <c r="H24" s="470">
        <v>7781</v>
      </c>
      <c r="I24" s="130">
        <v>5361</v>
      </c>
      <c r="J24" s="130">
        <f t="shared" si="1"/>
        <v>68.898599151779976</v>
      </c>
      <c r="K24" s="510"/>
    </row>
    <row r="25" spans="1:11" ht="18.75" customHeight="1" x14ac:dyDescent="0.2">
      <c r="A25" s="363">
        <v>7</v>
      </c>
      <c r="B25" s="515" t="s">
        <v>500</v>
      </c>
      <c r="C25" s="520" t="s">
        <v>40</v>
      </c>
      <c r="D25" s="522" t="s">
        <v>499</v>
      </c>
      <c r="E25" s="470">
        <v>15</v>
      </c>
      <c r="F25" s="470">
        <v>27</v>
      </c>
      <c r="G25" s="130">
        <f t="shared" si="0"/>
        <v>180</v>
      </c>
      <c r="H25" s="470">
        <v>8337</v>
      </c>
      <c r="I25" s="130">
        <v>5744</v>
      </c>
      <c r="J25" s="130">
        <f t="shared" si="1"/>
        <v>68.897685018591815</v>
      </c>
      <c r="K25" s="510"/>
    </row>
    <row r="26" spans="1:11" ht="18.75" customHeight="1" x14ac:dyDescent="0.2">
      <c r="A26" s="363">
        <v>8</v>
      </c>
      <c r="B26" s="515" t="s">
        <v>1772</v>
      </c>
      <c r="C26" s="520" t="s">
        <v>40</v>
      </c>
      <c r="D26" s="522" t="s">
        <v>501</v>
      </c>
      <c r="E26" s="470">
        <v>500</v>
      </c>
      <c r="F26" s="470">
        <v>443</v>
      </c>
      <c r="G26" s="130">
        <f t="shared" si="0"/>
        <v>88.6</v>
      </c>
      <c r="H26" s="470">
        <v>68918</v>
      </c>
      <c r="I26" s="130">
        <v>45926</v>
      </c>
      <c r="J26" s="130">
        <f t="shared" si="1"/>
        <v>66.638614005049476</v>
      </c>
      <c r="K26" s="510"/>
    </row>
    <row r="27" spans="1:11" ht="25.5" customHeight="1" x14ac:dyDescent="0.2">
      <c r="A27" s="363">
        <v>9</v>
      </c>
      <c r="B27" s="469" t="s">
        <v>2263</v>
      </c>
      <c r="C27" s="520" t="s">
        <v>40</v>
      </c>
      <c r="D27" s="471" t="s">
        <v>499</v>
      </c>
      <c r="E27" s="470">
        <v>16</v>
      </c>
      <c r="F27" s="470"/>
      <c r="G27" s="516"/>
      <c r="H27" s="516"/>
      <c r="I27" s="71"/>
      <c r="J27" s="516"/>
      <c r="K27" s="511"/>
    </row>
    <row r="28" spans="1:11" ht="18.75" customHeight="1" x14ac:dyDescent="0.2">
      <c r="A28" s="363">
        <v>10</v>
      </c>
      <c r="B28" s="517" t="s">
        <v>502</v>
      </c>
      <c r="C28" s="520"/>
      <c r="D28" s="162"/>
      <c r="E28" s="470"/>
      <c r="F28" s="883"/>
      <c r="G28" s="516"/>
      <c r="H28" s="33">
        <f>SUM(H29:H34)</f>
        <v>104487</v>
      </c>
      <c r="I28" s="387">
        <f>SUM(I29:I34)</f>
        <v>71987</v>
      </c>
      <c r="J28" s="385">
        <f t="shared" ref="J28:J49" si="2">+I28/H28*100</f>
        <v>68.895652090690703</v>
      </c>
      <c r="K28" s="511"/>
    </row>
    <row r="29" spans="1:11" ht="27" customHeight="1" x14ac:dyDescent="0.2">
      <c r="A29" s="357"/>
      <c r="B29" s="469" t="s">
        <v>1773</v>
      </c>
      <c r="C29" s="520" t="s">
        <v>40</v>
      </c>
      <c r="D29" s="543" t="s">
        <v>503</v>
      </c>
      <c r="E29" s="470">
        <v>10</v>
      </c>
      <c r="F29" s="883">
        <v>9</v>
      </c>
      <c r="G29" s="130">
        <f t="shared" ref="G29:G49" si="3">+F29/E29*100</f>
        <v>90</v>
      </c>
      <c r="H29" s="470">
        <v>32791</v>
      </c>
      <c r="I29" s="130">
        <v>22592</v>
      </c>
      <c r="J29" s="130">
        <f t="shared" si="2"/>
        <v>68.896953432344247</v>
      </c>
      <c r="K29" s="510"/>
    </row>
    <row r="30" spans="1:11" ht="27" customHeight="1" x14ac:dyDescent="0.2">
      <c r="A30" s="357"/>
      <c r="B30" s="515" t="s">
        <v>1774</v>
      </c>
      <c r="C30" s="520" t="s">
        <v>40</v>
      </c>
      <c r="D30" s="522" t="s">
        <v>503</v>
      </c>
      <c r="E30" s="470" t="s">
        <v>1779</v>
      </c>
      <c r="F30" s="470" t="s">
        <v>1779</v>
      </c>
      <c r="G30" s="130"/>
      <c r="H30" s="470" t="s">
        <v>1779</v>
      </c>
      <c r="I30" s="130"/>
      <c r="J30" s="130"/>
      <c r="K30" s="510"/>
    </row>
    <row r="31" spans="1:11" ht="18.75" customHeight="1" x14ac:dyDescent="0.2">
      <c r="A31" s="357"/>
      <c r="B31" s="515" t="s">
        <v>2022</v>
      </c>
      <c r="C31" s="520" t="s">
        <v>40</v>
      </c>
      <c r="D31" s="522" t="s">
        <v>883</v>
      </c>
      <c r="E31" s="470">
        <v>2</v>
      </c>
      <c r="F31" s="883">
        <v>2</v>
      </c>
      <c r="G31" s="130">
        <f t="shared" si="3"/>
        <v>100</v>
      </c>
      <c r="H31" s="470">
        <v>31124</v>
      </c>
      <c r="I31" s="130">
        <v>21443</v>
      </c>
      <c r="J31" s="130">
        <f t="shared" si="2"/>
        <v>68.895386197146905</v>
      </c>
      <c r="K31" s="510"/>
    </row>
    <row r="32" spans="1:11" ht="18.75" customHeight="1" x14ac:dyDescent="0.2">
      <c r="A32" s="357"/>
      <c r="B32" s="515" t="s">
        <v>2021</v>
      </c>
      <c r="C32" s="520" t="s">
        <v>40</v>
      </c>
      <c r="D32" s="522" t="s">
        <v>2023</v>
      </c>
      <c r="E32" s="470">
        <v>2</v>
      </c>
      <c r="F32" s="883">
        <v>2</v>
      </c>
      <c r="G32" s="130">
        <f t="shared" si="3"/>
        <v>100</v>
      </c>
      <c r="H32" s="470">
        <v>18897</v>
      </c>
      <c r="I32" s="130">
        <v>13019</v>
      </c>
      <c r="J32" s="130">
        <f t="shared" si="2"/>
        <v>68.894533523839769</v>
      </c>
      <c r="K32" s="510"/>
    </row>
    <row r="33" spans="1:11" ht="18.75" customHeight="1" x14ac:dyDescent="0.2">
      <c r="A33" s="357"/>
      <c r="B33" s="515" t="s">
        <v>2260</v>
      </c>
      <c r="C33" s="520" t="s">
        <v>40</v>
      </c>
      <c r="D33" s="522" t="s">
        <v>505</v>
      </c>
      <c r="E33" s="470">
        <v>3</v>
      </c>
      <c r="F33" s="883">
        <v>3</v>
      </c>
      <c r="G33" s="130">
        <f t="shared" si="3"/>
        <v>100</v>
      </c>
      <c r="H33" s="470">
        <v>12227</v>
      </c>
      <c r="I33" s="130">
        <v>8424</v>
      </c>
      <c r="J33" s="130">
        <f t="shared" si="2"/>
        <v>68.896704015702952</v>
      </c>
      <c r="K33" s="510"/>
    </row>
    <row r="34" spans="1:11" ht="18.75" customHeight="1" x14ac:dyDescent="0.2">
      <c r="A34" s="357"/>
      <c r="B34" s="515" t="s">
        <v>2261</v>
      </c>
      <c r="C34" s="520" t="s">
        <v>40</v>
      </c>
      <c r="D34" s="522" t="s">
        <v>467</v>
      </c>
      <c r="E34" s="470">
        <v>1</v>
      </c>
      <c r="F34" s="883">
        <v>1</v>
      </c>
      <c r="G34" s="130">
        <f t="shared" si="3"/>
        <v>100</v>
      </c>
      <c r="H34" s="470">
        <v>9448</v>
      </c>
      <c r="I34" s="130">
        <v>6509</v>
      </c>
      <c r="J34" s="130">
        <f t="shared" si="2"/>
        <v>68.892887383573239</v>
      </c>
      <c r="K34" s="510"/>
    </row>
    <row r="35" spans="1:11" ht="18.75" customHeight="1" x14ac:dyDescent="0.2">
      <c r="A35" s="514" t="s">
        <v>506</v>
      </c>
      <c r="B35" s="519"/>
      <c r="C35" s="521"/>
      <c r="D35" s="503"/>
      <c r="E35" s="884"/>
      <c r="F35" s="884"/>
      <c r="G35" s="384"/>
      <c r="H35" s="129">
        <f>SUM(H36:H49)</f>
        <v>1296838</v>
      </c>
      <c r="I35" s="384">
        <f>SUM(I36:I49)</f>
        <v>893456</v>
      </c>
      <c r="J35" s="384">
        <f>+I35/H35*100</f>
        <v>68.894958352546738</v>
      </c>
      <c r="K35" s="509"/>
    </row>
    <row r="36" spans="1:11" ht="18.75" customHeight="1" x14ac:dyDescent="0.2">
      <c r="A36" s="363">
        <v>1</v>
      </c>
      <c r="B36" s="515" t="s">
        <v>507</v>
      </c>
      <c r="C36" s="520" t="s">
        <v>40</v>
      </c>
      <c r="D36" s="522" t="s">
        <v>415</v>
      </c>
      <c r="E36" s="470">
        <v>540</v>
      </c>
      <c r="F36" s="883">
        <v>342</v>
      </c>
      <c r="G36" s="130">
        <f t="shared" si="3"/>
        <v>63.333333333333329</v>
      </c>
      <c r="H36" s="22">
        <v>195823</v>
      </c>
      <c r="I36" s="71">
        <v>134912</v>
      </c>
      <c r="J36" s="130">
        <f t="shared" si="2"/>
        <v>68.894869346297426</v>
      </c>
      <c r="K36" s="512"/>
    </row>
    <row r="37" spans="1:11" ht="25.5" customHeight="1" x14ac:dyDescent="0.2">
      <c r="A37" s="363">
        <v>2</v>
      </c>
      <c r="B37" s="469" t="s">
        <v>1775</v>
      </c>
      <c r="C37" s="520" t="s">
        <v>40</v>
      </c>
      <c r="D37" s="162" t="s">
        <v>415</v>
      </c>
      <c r="E37" s="470">
        <v>660</v>
      </c>
      <c r="F37" s="470">
        <v>788</v>
      </c>
      <c r="G37" s="130">
        <f t="shared" si="3"/>
        <v>119.39393939393939</v>
      </c>
      <c r="H37" s="22">
        <v>378478</v>
      </c>
      <c r="I37" s="71">
        <v>260889</v>
      </c>
      <c r="J37" s="130">
        <f t="shared" si="2"/>
        <v>68.931087143770569</v>
      </c>
      <c r="K37" s="512"/>
    </row>
    <row r="38" spans="1:11" ht="18.75" customHeight="1" x14ac:dyDescent="0.2">
      <c r="A38" s="363">
        <v>3</v>
      </c>
      <c r="B38" s="515" t="s">
        <v>508</v>
      </c>
      <c r="C38" s="520" t="s">
        <v>40</v>
      </c>
      <c r="D38" s="522" t="s">
        <v>509</v>
      </c>
      <c r="E38" s="470">
        <v>900</v>
      </c>
      <c r="F38" s="470">
        <v>1055</v>
      </c>
      <c r="G38" s="130">
        <f t="shared" si="3"/>
        <v>117.22222222222223</v>
      </c>
      <c r="H38" s="22">
        <v>90778</v>
      </c>
      <c r="I38" s="71">
        <v>62542</v>
      </c>
      <c r="J38" s="130">
        <f t="shared" si="2"/>
        <v>68.895547379320973</v>
      </c>
      <c r="K38" s="512"/>
    </row>
    <row r="39" spans="1:11" ht="18.75" customHeight="1" x14ac:dyDescent="0.2">
      <c r="A39" s="363">
        <v>4</v>
      </c>
      <c r="B39" s="515" t="s">
        <v>510</v>
      </c>
      <c r="C39" s="520" t="s">
        <v>40</v>
      </c>
      <c r="D39" s="522" t="s">
        <v>47</v>
      </c>
      <c r="E39" s="470">
        <v>3600</v>
      </c>
      <c r="F39" s="470">
        <v>3069</v>
      </c>
      <c r="G39" s="130">
        <f t="shared" si="3"/>
        <v>85.25</v>
      </c>
      <c r="H39" s="22">
        <v>33718</v>
      </c>
      <c r="I39" s="71">
        <v>23230</v>
      </c>
      <c r="J39" s="130">
        <f t="shared" si="2"/>
        <v>68.894952251023184</v>
      </c>
      <c r="K39" s="512"/>
    </row>
    <row r="40" spans="1:11" ht="18.75" customHeight="1" x14ac:dyDescent="0.2">
      <c r="A40" s="363">
        <v>5</v>
      </c>
      <c r="B40" s="515" t="s">
        <v>511</v>
      </c>
      <c r="C40" s="520" t="s">
        <v>40</v>
      </c>
      <c r="D40" s="522" t="s">
        <v>512</v>
      </c>
      <c r="E40" s="470">
        <v>45000</v>
      </c>
      <c r="F40" s="470">
        <v>40740</v>
      </c>
      <c r="G40" s="130">
        <f t="shared" si="3"/>
        <v>90.533333333333331</v>
      </c>
      <c r="H40" s="22">
        <v>120606</v>
      </c>
      <c r="I40" s="71">
        <v>83091</v>
      </c>
      <c r="J40" s="130">
        <f t="shared" si="2"/>
        <v>68.894582359086613</v>
      </c>
      <c r="K40" s="512"/>
    </row>
    <row r="41" spans="1:11" ht="18.75" customHeight="1" x14ac:dyDescent="0.2">
      <c r="A41" s="363">
        <v>6</v>
      </c>
      <c r="B41" s="515" t="s">
        <v>513</v>
      </c>
      <c r="C41" s="520" t="s">
        <v>40</v>
      </c>
      <c r="D41" s="522" t="s">
        <v>512</v>
      </c>
      <c r="E41" s="470">
        <v>60</v>
      </c>
      <c r="F41" s="470">
        <v>37</v>
      </c>
      <c r="G41" s="130">
        <f t="shared" si="3"/>
        <v>61.666666666666671</v>
      </c>
      <c r="H41" s="22">
        <v>29827</v>
      </c>
      <c r="I41" s="71">
        <v>20549</v>
      </c>
      <c r="J41" s="130">
        <f t="shared" si="2"/>
        <v>68.893955141314905</v>
      </c>
      <c r="K41" s="512"/>
    </row>
    <row r="42" spans="1:11" ht="18.75" customHeight="1" x14ac:dyDescent="0.2">
      <c r="A42" s="363">
        <v>7</v>
      </c>
      <c r="B42" s="515" t="s">
        <v>514</v>
      </c>
      <c r="C42" s="520" t="s">
        <v>40</v>
      </c>
      <c r="D42" s="522" t="s">
        <v>499</v>
      </c>
      <c r="E42" s="470">
        <v>12</v>
      </c>
      <c r="F42" s="470">
        <v>11</v>
      </c>
      <c r="G42" s="130">
        <f t="shared" si="3"/>
        <v>91.666666666666657</v>
      </c>
      <c r="H42" s="22">
        <v>50577</v>
      </c>
      <c r="I42" s="71">
        <v>34845</v>
      </c>
      <c r="J42" s="130">
        <f t="shared" si="2"/>
        <v>68.894952251023184</v>
      </c>
      <c r="K42" s="512"/>
    </row>
    <row r="43" spans="1:11" ht="27.75" customHeight="1" x14ac:dyDescent="0.2">
      <c r="A43" s="363">
        <v>8</v>
      </c>
      <c r="B43" s="469" t="s">
        <v>1776</v>
      </c>
      <c r="C43" s="520" t="s">
        <v>40</v>
      </c>
      <c r="D43" s="522" t="s">
        <v>499</v>
      </c>
      <c r="E43" s="470">
        <v>20</v>
      </c>
      <c r="F43" s="470">
        <v>13</v>
      </c>
      <c r="G43" s="130">
        <f t="shared" si="3"/>
        <v>65</v>
      </c>
      <c r="H43" s="22">
        <v>45389</v>
      </c>
      <c r="I43" s="71">
        <v>31271</v>
      </c>
      <c r="J43" s="130">
        <f t="shared" si="2"/>
        <v>68.895547379320973</v>
      </c>
      <c r="K43" s="512"/>
    </row>
    <row r="44" spans="1:11" ht="25.5" customHeight="1" x14ac:dyDescent="0.2">
      <c r="A44" s="184">
        <v>9</v>
      </c>
      <c r="B44" s="515" t="s">
        <v>1777</v>
      </c>
      <c r="C44" s="520" t="s">
        <v>40</v>
      </c>
      <c r="D44" s="522" t="s">
        <v>499</v>
      </c>
      <c r="E44" s="883">
        <v>15</v>
      </c>
      <c r="F44" s="883">
        <v>10</v>
      </c>
      <c r="G44" s="130">
        <f t="shared" si="3"/>
        <v>66.666666666666657</v>
      </c>
      <c r="H44" s="22">
        <v>45489</v>
      </c>
      <c r="I44" s="71">
        <v>31271</v>
      </c>
      <c r="J44" s="130">
        <f t="shared" si="2"/>
        <v>68.744091978280466</v>
      </c>
      <c r="K44" s="512"/>
    </row>
    <row r="45" spans="1:11" ht="18.75" customHeight="1" x14ac:dyDescent="0.2">
      <c r="A45" s="363">
        <v>10</v>
      </c>
      <c r="B45" s="515" t="s">
        <v>515</v>
      </c>
      <c r="C45" s="520" t="s">
        <v>40</v>
      </c>
      <c r="D45" s="522" t="s">
        <v>499</v>
      </c>
      <c r="E45" s="470">
        <v>16</v>
      </c>
      <c r="F45" s="470">
        <v>29</v>
      </c>
      <c r="G45" s="130">
        <f t="shared" si="3"/>
        <v>181.25</v>
      </c>
      <c r="H45" s="22">
        <v>45489</v>
      </c>
      <c r="I45" s="71">
        <v>31271</v>
      </c>
      <c r="J45" s="130">
        <f t="shared" si="2"/>
        <v>68.744091978280466</v>
      </c>
      <c r="K45" s="512"/>
    </row>
    <row r="46" spans="1:11" ht="18.75" customHeight="1" x14ac:dyDescent="0.2">
      <c r="A46" s="363">
        <v>11</v>
      </c>
      <c r="B46" s="515" t="s">
        <v>516</v>
      </c>
      <c r="C46" s="520" t="s">
        <v>40</v>
      </c>
      <c r="D46" s="523" t="s">
        <v>517</v>
      </c>
      <c r="E46" s="470">
        <v>7500</v>
      </c>
      <c r="F46" s="470">
        <v>7466</v>
      </c>
      <c r="G46" s="130">
        <f t="shared" si="3"/>
        <v>99.546666666666667</v>
      </c>
      <c r="H46" s="22">
        <v>86888</v>
      </c>
      <c r="I46" s="71">
        <v>59862</v>
      </c>
      <c r="J46" s="130">
        <f t="shared" si="2"/>
        <v>68.895589724703072</v>
      </c>
      <c r="K46" s="512"/>
    </row>
    <row r="47" spans="1:11" ht="18.75" customHeight="1" x14ac:dyDescent="0.2">
      <c r="A47" s="363">
        <v>12</v>
      </c>
      <c r="B47" s="515" t="s">
        <v>1778</v>
      </c>
      <c r="C47" s="520" t="s">
        <v>40</v>
      </c>
      <c r="D47" s="523" t="s">
        <v>518</v>
      </c>
      <c r="E47" s="470">
        <v>12000</v>
      </c>
      <c r="F47" s="470">
        <v>10929</v>
      </c>
      <c r="G47" s="130">
        <f t="shared" si="3"/>
        <v>91.074999999999989</v>
      </c>
      <c r="H47" s="22">
        <v>53170</v>
      </c>
      <c r="I47" s="71">
        <v>36632</v>
      </c>
      <c r="J47" s="130">
        <f t="shared" si="2"/>
        <v>68.895993981568552</v>
      </c>
      <c r="K47" s="512"/>
    </row>
    <row r="48" spans="1:11" ht="18.75" customHeight="1" x14ac:dyDescent="0.2">
      <c r="A48" s="363">
        <v>13</v>
      </c>
      <c r="B48" s="515" t="s">
        <v>519</v>
      </c>
      <c r="C48" s="520" t="s">
        <v>40</v>
      </c>
      <c r="D48" s="523" t="s">
        <v>493</v>
      </c>
      <c r="E48" s="470">
        <v>12</v>
      </c>
      <c r="F48" s="470">
        <v>17</v>
      </c>
      <c r="G48" s="130">
        <f t="shared" si="3"/>
        <v>141.66666666666669</v>
      </c>
      <c r="H48" s="22">
        <v>75217</v>
      </c>
      <c r="I48" s="71">
        <v>51820</v>
      </c>
      <c r="J48" s="130">
        <f t="shared" si="2"/>
        <v>68.894000026589737</v>
      </c>
      <c r="K48" s="512"/>
    </row>
    <row r="49" spans="1:11" ht="18.75" customHeight="1" x14ac:dyDescent="0.2">
      <c r="A49" s="363">
        <v>14</v>
      </c>
      <c r="B49" s="515" t="s">
        <v>520</v>
      </c>
      <c r="C49" s="520" t="s">
        <v>40</v>
      </c>
      <c r="D49" s="523" t="s">
        <v>521</v>
      </c>
      <c r="E49" s="470">
        <v>220</v>
      </c>
      <c r="F49" s="470">
        <v>113</v>
      </c>
      <c r="G49" s="130">
        <f t="shared" si="3"/>
        <v>51.363636363636367</v>
      </c>
      <c r="H49" s="22">
        <v>45389</v>
      </c>
      <c r="I49" s="71">
        <v>31271</v>
      </c>
      <c r="J49" s="130">
        <f t="shared" si="2"/>
        <v>68.895547379320973</v>
      </c>
      <c r="K49" s="512"/>
    </row>
    <row r="50" spans="1:11" x14ac:dyDescent="0.2">
      <c r="A50" s="3"/>
      <c r="C50" s="3"/>
    </row>
    <row r="51" spans="1:11" x14ac:dyDescent="0.2">
      <c r="A51" s="3"/>
      <c r="C51" s="3"/>
    </row>
    <row r="52" spans="1:11" x14ac:dyDescent="0.2">
      <c r="A52" s="3"/>
      <c r="C52" s="3"/>
    </row>
    <row r="53" spans="1:11" x14ac:dyDescent="0.2">
      <c r="A53" s="3"/>
      <c r="C53" s="3"/>
    </row>
    <row r="54" spans="1:11" x14ac:dyDescent="0.2">
      <c r="A54" s="3"/>
      <c r="C54" s="3"/>
    </row>
    <row r="55" spans="1:11" x14ac:dyDescent="0.2">
      <c r="A55" s="3"/>
      <c r="C55" s="3"/>
    </row>
    <row r="56" spans="1:11" x14ac:dyDescent="0.2">
      <c r="A56" s="3"/>
      <c r="C56" s="3"/>
    </row>
    <row r="57" spans="1:11" x14ac:dyDescent="0.2">
      <c r="A57" s="3"/>
      <c r="C57" s="3"/>
    </row>
    <row r="58" spans="1:11" x14ac:dyDescent="0.2">
      <c r="A58" s="3"/>
      <c r="C58" s="3"/>
    </row>
    <row r="59" spans="1:11" x14ac:dyDescent="0.2">
      <c r="A59" s="3"/>
      <c r="C59" s="3"/>
    </row>
    <row r="60" spans="1:11" x14ac:dyDescent="0.2">
      <c r="A60" s="3"/>
      <c r="C60" s="3"/>
    </row>
    <row r="61" spans="1:11" x14ac:dyDescent="0.2">
      <c r="A61" s="3"/>
      <c r="C61" s="3"/>
    </row>
    <row r="62" spans="1:11" x14ac:dyDescent="0.2">
      <c r="A62" s="3"/>
      <c r="C62" s="3"/>
    </row>
    <row r="63" spans="1:11" x14ac:dyDescent="0.2">
      <c r="A63" s="3"/>
      <c r="C63" s="3"/>
    </row>
    <row r="64" spans="1:11" x14ac:dyDescent="0.2">
      <c r="A64" s="3"/>
      <c r="C64" s="3"/>
    </row>
    <row r="65" spans="1:3" x14ac:dyDescent="0.2">
      <c r="A65" s="3"/>
      <c r="C65" s="3"/>
    </row>
    <row r="66" spans="1:3" x14ac:dyDescent="0.2">
      <c r="A66" s="3"/>
      <c r="C66" s="3"/>
    </row>
    <row r="67" spans="1:3" x14ac:dyDescent="0.2">
      <c r="A67" s="3"/>
      <c r="C67" s="3"/>
    </row>
    <row r="68" spans="1:3" x14ac:dyDescent="0.2">
      <c r="A68" s="3"/>
      <c r="C68" s="3"/>
    </row>
    <row r="69" spans="1:3" x14ac:dyDescent="0.2">
      <c r="A69" s="3"/>
      <c r="C69" s="3"/>
    </row>
    <row r="70" spans="1:3" x14ac:dyDescent="0.2">
      <c r="A70" s="3"/>
      <c r="C70" s="3"/>
    </row>
    <row r="71" spans="1:3" x14ac:dyDescent="0.2">
      <c r="A71" s="3"/>
      <c r="C71" s="3"/>
    </row>
    <row r="72" spans="1:3" x14ac:dyDescent="0.2">
      <c r="A72" s="3"/>
      <c r="C72" s="3"/>
    </row>
    <row r="73" spans="1:3" x14ac:dyDescent="0.2">
      <c r="A73" s="3"/>
      <c r="C73" s="3"/>
    </row>
    <row r="74" spans="1:3" x14ac:dyDescent="0.2">
      <c r="A74" s="3"/>
      <c r="C74" s="3"/>
    </row>
    <row r="75" spans="1:3" x14ac:dyDescent="0.2">
      <c r="A75" s="3"/>
      <c r="C75" s="3"/>
    </row>
    <row r="76" spans="1:3" x14ac:dyDescent="0.2">
      <c r="A76" s="3"/>
      <c r="C76" s="3"/>
    </row>
    <row r="77" spans="1:3" x14ac:dyDescent="0.2">
      <c r="A77" s="3"/>
      <c r="C77" s="3"/>
    </row>
    <row r="78" spans="1:3" x14ac:dyDescent="0.2">
      <c r="A78" s="3"/>
      <c r="C78" s="3"/>
    </row>
    <row r="79" spans="1:3" x14ac:dyDescent="0.2">
      <c r="A79" s="3"/>
      <c r="C79" s="3"/>
    </row>
    <row r="80" spans="1:3" x14ac:dyDescent="0.2">
      <c r="A80" s="3"/>
      <c r="C80" s="3"/>
    </row>
    <row r="81" spans="1:3" x14ac:dyDescent="0.2">
      <c r="A81" s="3"/>
      <c r="C81" s="3"/>
    </row>
    <row r="82" spans="1:3" x14ac:dyDescent="0.2">
      <c r="A82" s="3"/>
      <c r="C82" s="3"/>
    </row>
    <row r="83" spans="1:3" x14ac:dyDescent="0.2">
      <c r="A83" s="3"/>
      <c r="C83" s="3"/>
    </row>
    <row r="84" spans="1:3" x14ac:dyDescent="0.2">
      <c r="A84" s="3"/>
      <c r="C84" s="3"/>
    </row>
    <row r="85" spans="1:3" x14ac:dyDescent="0.2">
      <c r="A85" s="3"/>
      <c r="C85" s="3"/>
    </row>
    <row r="86" spans="1:3" x14ac:dyDescent="0.2">
      <c r="A86" s="3"/>
      <c r="C86" s="3"/>
    </row>
    <row r="87" spans="1:3" x14ac:dyDescent="0.2">
      <c r="A87" s="3"/>
      <c r="C87" s="3"/>
    </row>
    <row r="88" spans="1:3" x14ac:dyDescent="0.2">
      <c r="A88" s="3"/>
      <c r="C88" s="3"/>
    </row>
    <row r="89" spans="1:3" x14ac:dyDescent="0.2">
      <c r="A89" s="3"/>
      <c r="C89" s="3"/>
    </row>
    <row r="90" spans="1:3" x14ac:dyDescent="0.2">
      <c r="A90" s="3"/>
      <c r="C90" s="3"/>
    </row>
    <row r="91" spans="1:3" x14ac:dyDescent="0.2">
      <c r="A91" s="3"/>
      <c r="C91" s="3"/>
    </row>
    <row r="92" spans="1:3" x14ac:dyDescent="0.2">
      <c r="A92" s="3"/>
      <c r="C92" s="3"/>
    </row>
    <row r="93" spans="1:3" x14ac:dyDescent="0.2">
      <c r="A93" s="3"/>
      <c r="C93" s="3"/>
    </row>
    <row r="94" spans="1:3" x14ac:dyDescent="0.2">
      <c r="A94" s="3"/>
      <c r="C94" s="3"/>
    </row>
    <row r="95" spans="1:3" x14ac:dyDescent="0.2">
      <c r="A95" s="3"/>
      <c r="C95" s="3"/>
    </row>
    <row r="96" spans="1:3" x14ac:dyDescent="0.2">
      <c r="A96" s="3"/>
      <c r="C96" s="3"/>
    </row>
    <row r="97" spans="1:3" x14ac:dyDescent="0.2">
      <c r="A97" s="3"/>
      <c r="C97" s="3"/>
    </row>
  </sheetData>
  <mergeCells count="8">
    <mergeCell ref="D5:G5"/>
    <mergeCell ref="H5:J5"/>
    <mergeCell ref="A3:J3"/>
    <mergeCell ref="A4:J4"/>
    <mergeCell ref="A2:B2"/>
    <mergeCell ref="A5:A6"/>
    <mergeCell ref="B5:B6"/>
    <mergeCell ref="C5:C6"/>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7" tint="0.79998168889431442"/>
  </sheetPr>
  <dimension ref="A2:HL351"/>
  <sheetViews>
    <sheetView showZeros="0" view="pageBreakPreview" topLeftCell="A292" zoomScale="60" zoomScaleNormal="100" workbookViewId="0">
      <selection activeCell="E7" sqref="E7:J309"/>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220" ht="18" customHeight="1" x14ac:dyDescent="0.2">
      <c r="A2" s="983" t="s">
        <v>23</v>
      </c>
      <c r="B2" s="983"/>
      <c r="C2" s="1"/>
      <c r="D2" s="150"/>
      <c r="E2" s="269"/>
      <c r="F2" s="150"/>
      <c r="G2" s="150"/>
      <c r="H2" s="271"/>
      <c r="I2" s="271"/>
      <c r="J2" s="2"/>
    </row>
    <row r="3" spans="1:220" ht="33.75" customHeight="1" x14ac:dyDescent="0.2">
      <c r="A3" s="987" t="s">
        <v>6</v>
      </c>
      <c r="B3" s="988"/>
      <c r="C3" s="988"/>
      <c r="D3" s="988"/>
      <c r="E3" s="988"/>
      <c r="F3" s="988"/>
      <c r="G3" s="988"/>
      <c r="H3" s="988"/>
      <c r="I3" s="988"/>
      <c r="J3" s="989"/>
    </row>
    <row r="4" spans="1:220" ht="25.5" customHeight="1" x14ac:dyDescent="0.2">
      <c r="A4" s="987" t="s">
        <v>7</v>
      </c>
      <c r="B4" s="988"/>
      <c r="C4" s="988"/>
      <c r="D4" s="988"/>
      <c r="E4" s="988"/>
      <c r="F4" s="988"/>
      <c r="G4" s="988"/>
      <c r="H4" s="988"/>
      <c r="I4" s="988"/>
      <c r="J4" s="989"/>
    </row>
    <row r="5" spans="1:220" ht="18" customHeight="1" x14ac:dyDescent="0.2">
      <c r="A5" s="984" t="s">
        <v>0</v>
      </c>
      <c r="B5" s="984" t="s">
        <v>1</v>
      </c>
      <c r="C5" s="984" t="s">
        <v>2</v>
      </c>
      <c r="D5" s="990" t="s">
        <v>1440</v>
      </c>
      <c r="E5" s="990"/>
      <c r="F5" s="990"/>
      <c r="G5" s="990"/>
      <c r="H5" s="990" t="s">
        <v>1441</v>
      </c>
      <c r="I5" s="990"/>
      <c r="J5" s="990"/>
    </row>
    <row r="6" spans="1:220" ht="24" customHeight="1" x14ac:dyDescent="0.2">
      <c r="A6" s="984"/>
      <c r="B6" s="984"/>
      <c r="C6" s="984"/>
      <c r="D6" s="541" t="s">
        <v>3</v>
      </c>
      <c r="E6" s="541" t="s">
        <v>4</v>
      </c>
      <c r="F6" s="541" t="s">
        <v>1298</v>
      </c>
      <c r="G6" s="541" t="s">
        <v>1439</v>
      </c>
      <c r="H6" s="541" t="s">
        <v>1297</v>
      </c>
      <c r="I6" s="541" t="s">
        <v>1298</v>
      </c>
      <c r="J6" s="541" t="s">
        <v>1439</v>
      </c>
    </row>
    <row r="7" spans="1:220" ht="18" customHeight="1" x14ac:dyDescent="0.2">
      <c r="A7" s="1017" t="s">
        <v>1208</v>
      </c>
      <c r="B7" s="1017"/>
      <c r="C7" s="80"/>
      <c r="D7" s="151"/>
      <c r="E7" s="81"/>
      <c r="F7" s="81"/>
      <c r="G7" s="81"/>
      <c r="H7" s="67">
        <f>+H8+H15+H17+H26</f>
        <v>1351770</v>
      </c>
      <c r="I7" s="81">
        <f>+I8+I15+I17</f>
        <v>287844</v>
      </c>
      <c r="J7" s="81">
        <f>+I7/H7*100</f>
        <v>21.293859162431477</v>
      </c>
    </row>
    <row r="8" spans="1:220" ht="18.75" customHeight="1" x14ac:dyDescent="0.2">
      <c r="A8" s="628">
        <v>1</v>
      </c>
      <c r="B8" s="35" t="s">
        <v>1209</v>
      </c>
      <c r="C8" s="35"/>
      <c r="D8" s="168"/>
      <c r="E8" s="486"/>
      <c r="F8" s="486"/>
      <c r="G8" s="486"/>
      <c r="H8" s="41">
        <f>SUM(H9:H14)</f>
        <v>189316</v>
      </c>
      <c r="I8" s="306">
        <f>SUM(I9:I14)</f>
        <v>189241</v>
      </c>
      <c r="J8" s="306">
        <f>+I8/H8*100</f>
        <v>99.960383697099033</v>
      </c>
    </row>
    <row r="9" spans="1:220" s="143" customFormat="1" ht="18.75" customHeight="1" x14ac:dyDescent="0.2">
      <c r="A9" s="144">
        <v>1.1000000000000001</v>
      </c>
      <c r="B9" s="19" t="s">
        <v>1210</v>
      </c>
      <c r="C9" s="164" t="s">
        <v>40</v>
      </c>
      <c r="D9" s="607" t="s">
        <v>43</v>
      </c>
      <c r="E9" s="38">
        <v>60</v>
      </c>
      <c r="F9" s="390">
        <v>3</v>
      </c>
      <c r="G9" s="349">
        <f t="shared" ref="G9:G14" si="0">+F9/E9%</f>
        <v>5</v>
      </c>
      <c r="H9" s="38">
        <v>30000</v>
      </c>
      <c r="I9" s="277">
        <v>30000</v>
      </c>
      <c r="J9" s="277">
        <f>+I9/H9%</f>
        <v>100</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row>
    <row r="10" spans="1:220" s="143" customFormat="1" ht="38.25" x14ac:dyDescent="0.2">
      <c r="A10" s="144">
        <v>1.2</v>
      </c>
      <c r="B10" s="19" t="s">
        <v>1211</v>
      </c>
      <c r="C10" s="164" t="s">
        <v>40</v>
      </c>
      <c r="D10" s="607" t="s">
        <v>1232</v>
      </c>
      <c r="E10" s="38">
        <v>26</v>
      </c>
      <c r="F10" s="390">
        <v>26</v>
      </c>
      <c r="G10" s="349">
        <f t="shared" si="0"/>
        <v>100</v>
      </c>
      <c r="H10" s="38">
        <v>28500</v>
      </c>
      <c r="I10" s="277">
        <v>28500</v>
      </c>
      <c r="J10" s="277">
        <f t="shared" ref="J10:J25" si="1">+I10/H10%</f>
        <v>100</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row>
    <row r="11" spans="1:220" s="143" customFormat="1" ht="29.25" customHeight="1" x14ac:dyDescent="0.2">
      <c r="A11" s="144">
        <v>1.3</v>
      </c>
      <c r="B11" s="19" t="s">
        <v>1212</v>
      </c>
      <c r="C11" s="164" t="s">
        <v>40</v>
      </c>
      <c r="D11" s="607" t="s">
        <v>1213</v>
      </c>
      <c r="E11" s="38">
        <v>10</v>
      </c>
      <c r="F11" s="390">
        <v>10</v>
      </c>
      <c r="G11" s="349">
        <f t="shared" si="0"/>
        <v>100</v>
      </c>
      <c r="H11" s="38">
        <v>78500</v>
      </c>
      <c r="I11" s="277">
        <v>78425</v>
      </c>
      <c r="J11" s="277">
        <f t="shared" si="1"/>
        <v>99.904458598726109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row>
    <row r="12" spans="1:220" s="143" customFormat="1" ht="19.5" customHeight="1" x14ac:dyDescent="0.2">
      <c r="A12" s="144">
        <v>1.4</v>
      </c>
      <c r="B12" s="19" t="s">
        <v>1214</v>
      </c>
      <c r="C12" s="164" t="s">
        <v>40</v>
      </c>
      <c r="D12" s="607" t="s">
        <v>1215</v>
      </c>
      <c r="E12" s="38">
        <v>4</v>
      </c>
      <c r="F12" s="390">
        <v>4</v>
      </c>
      <c r="G12" s="349">
        <f t="shared" si="0"/>
        <v>100</v>
      </c>
      <c r="H12" s="38">
        <v>10000</v>
      </c>
      <c r="I12" s="277">
        <v>10000</v>
      </c>
      <c r="J12" s="277">
        <f t="shared" si="1"/>
        <v>100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row>
    <row r="13" spans="1:220" s="143" customFormat="1" ht="38.25" customHeight="1" x14ac:dyDescent="0.2">
      <c r="A13" s="144">
        <v>1.5</v>
      </c>
      <c r="B13" s="19" t="s">
        <v>1216</v>
      </c>
      <c r="C13" s="164" t="s">
        <v>40</v>
      </c>
      <c r="D13" s="630" t="s">
        <v>42</v>
      </c>
      <c r="E13" s="880">
        <v>5</v>
      </c>
      <c r="F13" s="881">
        <v>5</v>
      </c>
      <c r="G13" s="349">
        <f t="shared" si="0"/>
        <v>100</v>
      </c>
      <c r="H13" s="38">
        <v>15500</v>
      </c>
      <c r="I13" s="277">
        <v>15500</v>
      </c>
      <c r="J13" s="277">
        <f t="shared" si="1"/>
        <v>100</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row>
    <row r="14" spans="1:220" s="143" customFormat="1" ht="40.5" customHeight="1" x14ac:dyDescent="0.2">
      <c r="A14" s="144">
        <v>1.6</v>
      </c>
      <c r="B14" s="19" t="s">
        <v>561</v>
      </c>
      <c r="C14" s="164" t="s">
        <v>40</v>
      </c>
      <c r="D14" s="630"/>
      <c r="E14" s="880">
        <v>5</v>
      </c>
      <c r="F14" s="881">
        <v>5</v>
      </c>
      <c r="G14" s="349">
        <f t="shared" si="0"/>
        <v>100</v>
      </c>
      <c r="H14" s="38">
        <v>26816</v>
      </c>
      <c r="I14" s="277">
        <v>26816</v>
      </c>
      <c r="J14" s="277">
        <f t="shared" si="1"/>
        <v>99.999999999999986</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row>
    <row r="15" spans="1:220" s="143" customFormat="1" ht="40.5" customHeight="1" x14ac:dyDescent="0.2">
      <c r="A15" s="139">
        <v>2</v>
      </c>
      <c r="B15" s="79" t="s">
        <v>1217</v>
      </c>
      <c r="C15" s="152"/>
      <c r="D15" s="152"/>
      <c r="E15" s="796"/>
      <c r="F15" s="796"/>
      <c r="G15" s="796"/>
      <c r="H15" s="631">
        <f>SUM(H16:H16)</f>
        <v>27466</v>
      </c>
      <c r="I15" s="632">
        <f>SUM(I16:I16)</f>
        <v>27466</v>
      </c>
      <c r="J15" s="632">
        <f>+I15/H15*100</f>
        <v>100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row>
    <row r="16" spans="1:220" s="5" customFormat="1" ht="65.25" customHeight="1" x14ac:dyDescent="0.2">
      <c r="A16" s="144">
        <v>2.1</v>
      </c>
      <c r="B16" s="19" t="s">
        <v>1218</v>
      </c>
      <c r="C16" s="164" t="s">
        <v>40</v>
      </c>
      <c r="D16" s="164" t="s">
        <v>1231</v>
      </c>
      <c r="E16" s="636"/>
      <c r="F16" s="636"/>
      <c r="G16" s="636"/>
      <c r="H16" s="38">
        <v>27466</v>
      </c>
      <c r="I16" s="277">
        <v>27466</v>
      </c>
      <c r="J16" s="277">
        <f t="shared" si="1"/>
        <v>99.999999999999986</v>
      </c>
    </row>
    <row r="17" spans="1:10" s="5" customFormat="1" ht="18.75" customHeight="1" x14ac:dyDescent="0.2">
      <c r="A17" s="139">
        <v>3</v>
      </c>
      <c r="B17" s="79" t="s">
        <v>1219</v>
      </c>
      <c r="C17" s="152"/>
      <c r="D17" s="152"/>
      <c r="E17" s="796"/>
      <c r="F17" s="796"/>
      <c r="G17" s="631">
        <f>+H17-71140</f>
        <v>0</v>
      </c>
      <c r="H17" s="631">
        <f>SUM(H18:H25)</f>
        <v>71140</v>
      </c>
      <c r="I17" s="632">
        <f>SUM(I18:I25)</f>
        <v>71137</v>
      </c>
      <c r="J17" s="632">
        <f>+I17/H17*100</f>
        <v>99.995782963171209</v>
      </c>
    </row>
    <row r="18" spans="1:10" s="5" customFormat="1" ht="29.25" customHeight="1" x14ac:dyDescent="0.2">
      <c r="A18" s="144">
        <v>3.1</v>
      </c>
      <c r="B18" s="19" t="s">
        <v>1220</v>
      </c>
      <c r="C18" s="164" t="s">
        <v>40</v>
      </c>
      <c r="D18" s="164" t="s">
        <v>1017</v>
      </c>
      <c r="E18" s="636">
        <v>2</v>
      </c>
      <c r="F18" s="636">
        <v>0</v>
      </c>
      <c r="G18" s="277">
        <f>+F18/E18*100</f>
        <v>0</v>
      </c>
      <c r="H18" s="38">
        <v>3000</v>
      </c>
      <c r="I18" s="633" t="s">
        <v>1470</v>
      </c>
      <c r="J18" s="634" t="s">
        <v>1780</v>
      </c>
    </row>
    <row r="19" spans="1:10" s="5" customFormat="1" ht="40.5" customHeight="1" x14ac:dyDescent="0.2">
      <c r="A19" s="144">
        <v>3.2</v>
      </c>
      <c r="B19" s="19" t="s">
        <v>1221</v>
      </c>
      <c r="C19" s="164" t="s">
        <v>40</v>
      </c>
      <c r="D19" s="164" t="s">
        <v>431</v>
      </c>
      <c r="E19" s="636">
        <v>24</v>
      </c>
      <c r="F19" s="636">
        <v>24</v>
      </c>
      <c r="G19" s="277">
        <f t="shared" ref="G19:G25" si="2">+F19/E19*100</f>
        <v>100</v>
      </c>
      <c r="H19" s="38">
        <v>5992</v>
      </c>
      <c r="I19" s="277">
        <v>6992</v>
      </c>
      <c r="J19" s="277">
        <f t="shared" si="1"/>
        <v>116.68891855807743</v>
      </c>
    </row>
    <row r="20" spans="1:10" s="5" customFormat="1" ht="27" customHeight="1" x14ac:dyDescent="0.2">
      <c r="A20" s="144">
        <v>3.3</v>
      </c>
      <c r="B20" s="19" t="s">
        <v>1222</v>
      </c>
      <c r="C20" s="164" t="s">
        <v>40</v>
      </c>
      <c r="D20" s="164" t="s">
        <v>1223</v>
      </c>
      <c r="E20" s="636">
        <v>84</v>
      </c>
      <c r="F20" s="636">
        <v>84</v>
      </c>
      <c r="G20" s="277">
        <f t="shared" si="2"/>
        <v>100</v>
      </c>
      <c r="H20" s="38">
        <v>6000</v>
      </c>
      <c r="I20" s="277">
        <v>7000</v>
      </c>
      <c r="J20" s="277">
        <f t="shared" si="1"/>
        <v>116.66666666666667</v>
      </c>
    </row>
    <row r="21" spans="1:10" s="5" customFormat="1" ht="28.5" customHeight="1" x14ac:dyDescent="0.2">
      <c r="A21" s="144">
        <v>3.4</v>
      </c>
      <c r="B21" s="19" t="s">
        <v>1224</v>
      </c>
      <c r="C21" s="164" t="s">
        <v>40</v>
      </c>
      <c r="D21" s="164" t="s">
        <v>733</v>
      </c>
      <c r="E21" s="636">
        <v>4</v>
      </c>
      <c r="F21" s="636">
        <v>4</v>
      </c>
      <c r="G21" s="277">
        <f t="shared" si="2"/>
        <v>100</v>
      </c>
      <c r="H21" s="38">
        <v>4400</v>
      </c>
      <c r="I21" s="277">
        <v>5400</v>
      </c>
      <c r="J21" s="277">
        <f t="shared" si="1"/>
        <v>122.72727272727273</v>
      </c>
    </row>
    <row r="22" spans="1:10" s="5" customFormat="1" ht="24" customHeight="1" x14ac:dyDescent="0.2">
      <c r="A22" s="144">
        <v>3.5</v>
      </c>
      <c r="B22" s="19" t="s">
        <v>1225</v>
      </c>
      <c r="C22" s="164" t="s">
        <v>40</v>
      </c>
      <c r="D22" s="164" t="s">
        <v>1226</v>
      </c>
      <c r="E22" s="636">
        <v>22</v>
      </c>
      <c r="F22" s="636">
        <v>22</v>
      </c>
      <c r="G22" s="277">
        <f t="shared" si="2"/>
        <v>100</v>
      </c>
      <c r="H22" s="38">
        <v>6500</v>
      </c>
      <c r="I22" s="277">
        <v>6500</v>
      </c>
      <c r="J22" s="277">
        <f t="shared" si="1"/>
        <v>100</v>
      </c>
    </row>
    <row r="23" spans="1:10" s="5" customFormat="1" ht="27" customHeight="1" x14ac:dyDescent="0.2">
      <c r="A23" s="144">
        <v>3.6</v>
      </c>
      <c r="B23" s="19" t="s">
        <v>1227</v>
      </c>
      <c r="C23" s="164" t="s">
        <v>40</v>
      </c>
      <c r="D23" s="164" t="s">
        <v>564</v>
      </c>
      <c r="E23" s="636">
        <v>2</v>
      </c>
      <c r="F23" s="636">
        <v>2</v>
      </c>
      <c r="G23" s="277">
        <f t="shared" si="2"/>
        <v>100</v>
      </c>
      <c r="H23" s="38">
        <v>3000</v>
      </c>
      <c r="I23" s="277">
        <v>4000</v>
      </c>
      <c r="J23" s="277">
        <f t="shared" si="1"/>
        <v>133.33333333333334</v>
      </c>
    </row>
    <row r="24" spans="1:10" s="5" customFormat="1" ht="28.5" customHeight="1" x14ac:dyDescent="0.2">
      <c r="A24" s="144">
        <v>3.7</v>
      </c>
      <c r="B24" s="19" t="s">
        <v>1228</v>
      </c>
      <c r="C24" s="164" t="s">
        <v>46</v>
      </c>
      <c r="D24" s="164" t="s">
        <v>95</v>
      </c>
      <c r="E24" s="636">
        <v>1</v>
      </c>
      <c r="F24" s="636">
        <v>1</v>
      </c>
      <c r="G24" s="277">
        <f t="shared" si="2"/>
        <v>100</v>
      </c>
      <c r="H24" s="38">
        <v>7800</v>
      </c>
      <c r="I24" s="277">
        <f>5820+977.1</f>
        <v>6797.1</v>
      </c>
      <c r="J24" s="277">
        <f t="shared" si="1"/>
        <v>87.142307692307696</v>
      </c>
    </row>
    <row r="25" spans="1:10" s="5" customFormat="1" ht="30" customHeight="1" x14ac:dyDescent="0.2">
      <c r="A25" s="344">
        <v>3.8</v>
      </c>
      <c r="B25" s="19" t="s">
        <v>1229</v>
      </c>
      <c r="C25" s="164" t="s">
        <v>40</v>
      </c>
      <c r="D25" s="164" t="s">
        <v>1230</v>
      </c>
      <c r="E25" s="636">
        <v>4</v>
      </c>
      <c r="F25" s="636">
        <v>2</v>
      </c>
      <c r="G25" s="277">
        <f t="shared" si="2"/>
        <v>50</v>
      </c>
      <c r="H25" s="38">
        <v>34448</v>
      </c>
      <c r="I25" s="277">
        <v>34447.9</v>
      </c>
      <c r="J25" s="277">
        <f t="shared" si="1"/>
        <v>99.999709707385037</v>
      </c>
    </row>
    <row r="26" spans="1:10" s="5" customFormat="1" ht="24" customHeight="1" x14ac:dyDescent="0.2">
      <c r="A26" s="596">
        <v>4</v>
      </c>
      <c r="B26" s="412" t="s">
        <v>1268</v>
      </c>
      <c r="C26" s="503"/>
      <c r="D26" s="503"/>
      <c r="E26" s="506"/>
      <c r="F26" s="506"/>
      <c r="G26" s="506"/>
      <c r="H26" s="41">
        <f>SUM(H27:H31)</f>
        <v>1063848</v>
      </c>
      <c r="I26" s="306">
        <f>SUM(I27:I31)</f>
        <v>1123470.1299999999</v>
      </c>
      <c r="J26" s="306">
        <f t="shared" ref="J26:J32" si="3">+I26/H26%</f>
        <v>105.60438427294125</v>
      </c>
    </row>
    <row r="27" spans="1:10" ht="29.25" customHeight="1" x14ac:dyDescent="0.2">
      <c r="A27" s="43">
        <v>1</v>
      </c>
      <c r="B27" s="473" t="s">
        <v>2270</v>
      </c>
      <c r="C27" s="164" t="s">
        <v>1055</v>
      </c>
      <c r="D27" s="164" t="s">
        <v>1269</v>
      </c>
      <c r="E27" s="63">
        <v>1</v>
      </c>
      <c r="F27" s="63">
        <v>1</v>
      </c>
      <c r="G27" s="277">
        <f>+F27/E27*100</f>
        <v>100</v>
      </c>
      <c r="H27" s="845">
        <v>10900</v>
      </c>
      <c r="I27" s="847">
        <v>10900</v>
      </c>
      <c r="J27" s="277">
        <f t="shared" si="3"/>
        <v>100</v>
      </c>
    </row>
    <row r="28" spans="1:10" ht="38.25" customHeight="1" x14ac:dyDescent="0.2">
      <c r="A28" s="43">
        <v>3</v>
      </c>
      <c r="B28" s="473" t="s">
        <v>2269</v>
      </c>
      <c r="C28" s="164" t="s">
        <v>189</v>
      </c>
      <c r="D28" s="164" t="s">
        <v>1269</v>
      </c>
      <c r="E28" s="63">
        <v>1</v>
      </c>
      <c r="F28" s="636">
        <v>1</v>
      </c>
      <c r="G28" s="277">
        <f>+F28/E28*100</f>
        <v>100</v>
      </c>
      <c r="H28" s="845">
        <v>21582</v>
      </c>
      <c r="I28" s="847">
        <v>21582</v>
      </c>
      <c r="J28" s="277">
        <f t="shared" si="3"/>
        <v>100</v>
      </c>
    </row>
    <row r="29" spans="1:10" ht="40.5" customHeight="1" x14ac:dyDescent="0.2">
      <c r="A29" s="43">
        <v>4</v>
      </c>
      <c r="B29" s="473" t="s">
        <v>2271</v>
      </c>
      <c r="C29" s="164" t="s">
        <v>626</v>
      </c>
      <c r="D29" s="164" t="s">
        <v>1269</v>
      </c>
      <c r="E29" s="63">
        <v>1</v>
      </c>
      <c r="F29" s="636">
        <v>1</v>
      </c>
      <c r="G29" s="277">
        <f>+F29/E29*100</f>
        <v>100</v>
      </c>
      <c r="H29" s="845">
        <v>52958</v>
      </c>
      <c r="I29" s="847">
        <v>52957.5</v>
      </c>
      <c r="J29" s="277">
        <f t="shared" si="3"/>
        <v>99.999055855583663</v>
      </c>
    </row>
    <row r="30" spans="1:10" ht="31.5" customHeight="1" x14ac:dyDescent="0.2">
      <c r="A30" s="43">
        <v>5</v>
      </c>
      <c r="B30" s="473" t="s">
        <v>2272</v>
      </c>
      <c r="C30" s="164" t="s">
        <v>189</v>
      </c>
      <c r="D30" s="164" t="s">
        <v>1269</v>
      </c>
      <c r="E30" s="63">
        <v>1</v>
      </c>
      <c r="F30" s="636">
        <v>1</v>
      </c>
      <c r="G30" s="277">
        <f>+F30/E30*100</f>
        <v>100</v>
      </c>
      <c r="H30" s="845">
        <v>978408</v>
      </c>
      <c r="I30" s="847">
        <v>978407.63</v>
      </c>
      <c r="J30" s="277">
        <f t="shared" si="3"/>
        <v>99.999962183465385</v>
      </c>
    </row>
    <row r="31" spans="1:10" ht="33" customHeight="1" x14ac:dyDescent="0.2">
      <c r="A31" s="43">
        <v>6</v>
      </c>
      <c r="B31" s="473" t="s">
        <v>1790</v>
      </c>
      <c r="C31" s="164" t="s">
        <v>1055</v>
      </c>
      <c r="D31" s="164" t="s">
        <v>1269</v>
      </c>
      <c r="E31" s="63">
        <v>1</v>
      </c>
      <c r="F31" s="636">
        <v>1</v>
      </c>
      <c r="G31" s="277">
        <f>+F31/E31*100</f>
        <v>100</v>
      </c>
      <c r="H31" s="845" t="s">
        <v>2303</v>
      </c>
      <c r="I31" s="847">
        <v>59623</v>
      </c>
      <c r="J31" s="277" t="e">
        <f t="shared" si="3"/>
        <v>#VALUE!</v>
      </c>
    </row>
    <row r="32" spans="1:10" ht="18.75" customHeight="1" x14ac:dyDescent="0.2">
      <c r="A32" s="340" t="s">
        <v>1781</v>
      </c>
      <c r="C32" s="164"/>
      <c r="D32" s="607"/>
      <c r="E32" s="63"/>
      <c r="F32" s="390"/>
      <c r="G32" s="390"/>
      <c r="H32" s="325">
        <f>SUM(H33:H59)</f>
        <v>5021016</v>
      </c>
      <c r="I32" s="320">
        <f>SUM(I33:I59)</f>
        <v>2759034.5999999996</v>
      </c>
      <c r="J32" s="81">
        <f t="shared" si="3"/>
        <v>54.949727306186624</v>
      </c>
    </row>
    <row r="33" spans="1:10" ht="18.75" customHeight="1" x14ac:dyDescent="0.2">
      <c r="A33" s="960">
        <v>1</v>
      </c>
      <c r="B33" s="963" t="s">
        <v>1961</v>
      </c>
      <c r="C33" s="965" t="s">
        <v>1055</v>
      </c>
      <c r="D33" s="607" t="s">
        <v>1626</v>
      </c>
      <c r="E33" s="845">
        <v>1</v>
      </c>
      <c r="F33" s="390">
        <v>0.02</v>
      </c>
      <c r="G33" s="349">
        <f>+F33/E33*100</f>
        <v>2</v>
      </c>
      <c r="H33" s="967">
        <v>1933643</v>
      </c>
      <c r="I33" s="958">
        <v>1032440.31</v>
      </c>
      <c r="J33" s="958">
        <v>53.39</v>
      </c>
    </row>
    <row r="34" spans="1:10" ht="18.75" customHeight="1" x14ac:dyDescent="0.2">
      <c r="A34" s="961"/>
      <c r="B34" s="964"/>
      <c r="C34" s="966"/>
      <c r="D34" s="607" t="s">
        <v>1627</v>
      </c>
      <c r="E34" s="845">
        <v>1</v>
      </c>
      <c r="F34" s="390">
        <v>0.02</v>
      </c>
      <c r="G34" s="349">
        <f>+F34/E34*100</f>
        <v>2</v>
      </c>
      <c r="H34" s="968"/>
      <c r="I34" s="970"/>
      <c r="J34" s="970"/>
    </row>
    <row r="35" spans="1:10" ht="26.25" customHeight="1" x14ac:dyDescent="0.2">
      <c r="A35" s="962"/>
      <c r="B35" s="991"/>
      <c r="C35" s="977"/>
      <c r="D35" s="607" t="s">
        <v>1625</v>
      </c>
      <c r="E35" s="845" t="s">
        <v>1624</v>
      </c>
      <c r="F35" s="273">
        <v>0</v>
      </c>
      <c r="G35" s="273">
        <v>0</v>
      </c>
      <c r="H35" s="969"/>
      <c r="I35" s="959"/>
      <c r="J35" s="959"/>
    </row>
    <row r="36" spans="1:10" ht="45.75" customHeight="1" x14ac:dyDescent="0.2">
      <c r="A36" s="635">
        <v>1</v>
      </c>
      <c r="B36" s="604" t="s">
        <v>2007</v>
      </c>
      <c r="C36" s="292" t="s">
        <v>40</v>
      </c>
      <c r="D36" s="161"/>
      <c r="E36" s="38"/>
      <c r="F36" s="390"/>
      <c r="G36" s="390"/>
      <c r="H36" s="845">
        <v>89100</v>
      </c>
      <c r="I36" s="847">
        <v>66590.489999999991</v>
      </c>
      <c r="J36" s="273">
        <f>+I36/H36*100</f>
        <v>74.736801346801343</v>
      </c>
    </row>
    <row r="37" spans="1:10" ht="45.75" customHeight="1" x14ac:dyDescent="0.2">
      <c r="A37" s="635">
        <v>2</v>
      </c>
      <c r="B37" s="604" t="s">
        <v>1537</v>
      </c>
      <c r="C37" s="296" t="s">
        <v>630</v>
      </c>
      <c r="D37" s="161"/>
      <c r="E37" s="63"/>
      <c r="F37" s="636"/>
      <c r="G37" s="636"/>
      <c r="H37" s="845">
        <v>123600</v>
      </c>
      <c r="I37" s="847">
        <v>107196.5</v>
      </c>
      <c r="J37" s="273">
        <f t="shared" ref="J37:J57" si="4">+I37/H37*100</f>
        <v>86.728559870550157</v>
      </c>
    </row>
    <row r="38" spans="1:10" ht="32.25" customHeight="1" x14ac:dyDescent="0.2">
      <c r="A38" s="635">
        <v>3</v>
      </c>
      <c r="B38" s="604" t="s">
        <v>1538</v>
      </c>
      <c r="C38" s="358"/>
      <c r="D38" s="161"/>
      <c r="E38" s="63"/>
      <c r="F38" s="636"/>
      <c r="G38" s="636"/>
      <c r="H38" s="845">
        <v>38500</v>
      </c>
      <c r="I38" s="847">
        <v>14898.9</v>
      </c>
      <c r="J38" s="273">
        <f t="shared" si="4"/>
        <v>38.698441558441559</v>
      </c>
    </row>
    <row r="39" spans="1:10" ht="45.75" customHeight="1" x14ac:dyDescent="0.2">
      <c r="A39" s="635">
        <v>4</v>
      </c>
      <c r="B39" s="604" t="s">
        <v>1539</v>
      </c>
      <c r="C39" s="296" t="s">
        <v>46</v>
      </c>
      <c r="D39" s="161"/>
      <c r="E39" s="63"/>
      <c r="F39" s="636"/>
      <c r="G39" s="636"/>
      <c r="H39" s="845">
        <v>41367</v>
      </c>
      <c r="I39" s="847">
        <v>21126.21</v>
      </c>
      <c r="J39" s="273">
        <f t="shared" si="4"/>
        <v>51.070200884763217</v>
      </c>
    </row>
    <row r="40" spans="1:10" ht="45.75" customHeight="1" x14ac:dyDescent="0.2">
      <c r="A40" s="635">
        <v>5</v>
      </c>
      <c r="B40" s="576" t="s">
        <v>1540</v>
      </c>
      <c r="C40" s="296" t="s">
        <v>168</v>
      </c>
      <c r="D40" s="161"/>
      <c r="E40" s="63"/>
      <c r="F40" s="636"/>
      <c r="G40" s="636"/>
      <c r="H40" s="845">
        <v>104800</v>
      </c>
      <c r="I40" s="847">
        <v>84571.78</v>
      </c>
      <c r="J40" s="273">
        <f t="shared" si="4"/>
        <v>80.698263358778618</v>
      </c>
    </row>
    <row r="41" spans="1:10" ht="45.75" customHeight="1" x14ac:dyDescent="0.2">
      <c r="A41" s="635">
        <v>6</v>
      </c>
      <c r="B41" s="576" t="s">
        <v>1541</v>
      </c>
      <c r="C41" s="296" t="s">
        <v>170</v>
      </c>
      <c r="D41" s="161"/>
      <c r="E41" s="63"/>
      <c r="F41" s="636"/>
      <c r="G41" s="636"/>
      <c r="H41" s="845">
        <v>104000</v>
      </c>
      <c r="I41" s="847">
        <v>76419.38</v>
      </c>
      <c r="J41" s="273">
        <f t="shared" si="4"/>
        <v>73.48017307692308</v>
      </c>
    </row>
    <row r="42" spans="1:10" ht="45.75" customHeight="1" x14ac:dyDescent="0.2">
      <c r="A42" s="635">
        <v>7</v>
      </c>
      <c r="B42" s="604" t="s">
        <v>1559</v>
      </c>
      <c r="C42" s="296" t="s">
        <v>630</v>
      </c>
      <c r="D42" s="161"/>
      <c r="E42" s="63"/>
      <c r="F42" s="636"/>
      <c r="G42" s="636"/>
      <c r="H42" s="845">
        <v>39910</v>
      </c>
      <c r="I42" s="847">
        <v>39270.78</v>
      </c>
      <c r="J42" s="273">
        <f t="shared" si="4"/>
        <v>98.398346279128035</v>
      </c>
    </row>
    <row r="43" spans="1:10" ht="45.75" customHeight="1" x14ac:dyDescent="0.2">
      <c r="A43" s="635">
        <v>8</v>
      </c>
      <c r="B43" s="604" t="s">
        <v>1558</v>
      </c>
      <c r="C43" s="296" t="s">
        <v>1049</v>
      </c>
      <c r="D43" s="161"/>
      <c r="E43" s="63"/>
      <c r="F43" s="636"/>
      <c r="G43" s="636"/>
      <c r="H43" s="845">
        <v>58000</v>
      </c>
      <c r="I43" s="847">
        <v>40446.199999999997</v>
      </c>
      <c r="J43" s="273">
        <f t="shared" si="4"/>
        <v>69.73482758620689</v>
      </c>
    </row>
    <row r="44" spans="1:10" ht="45.75" customHeight="1" x14ac:dyDescent="0.2">
      <c r="A44" s="635">
        <v>9</v>
      </c>
      <c r="B44" s="604" t="s">
        <v>1557</v>
      </c>
      <c r="C44" s="296" t="s">
        <v>1185</v>
      </c>
      <c r="D44" s="161"/>
      <c r="E44" s="63"/>
      <c r="F44" s="636"/>
      <c r="G44" s="636"/>
      <c r="H44" s="845">
        <v>72900</v>
      </c>
      <c r="I44" s="847">
        <v>19480.98</v>
      </c>
      <c r="J44" s="273">
        <f t="shared" si="4"/>
        <v>26.722880658436214</v>
      </c>
    </row>
    <row r="45" spans="1:10" ht="45.75" customHeight="1" x14ac:dyDescent="0.2">
      <c r="A45" s="635">
        <v>10</v>
      </c>
      <c r="B45" s="604" t="s">
        <v>1556</v>
      </c>
      <c r="C45" s="296" t="s">
        <v>630</v>
      </c>
      <c r="D45" s="161"/>
      <c r="E45" s="63"/>
      <c r="F45" s="636"/>
      <c r="G45" s="636"/>
      <c r="H45" s="845">
        <v>88700</v>
      </c>
      <c r="I45" s="847">
        <v>63581.85</v>
      </c>
      <c r="J45" s="273">
        <f t="shared" si="4"/>
        <v>71.681905298759858</v>
      </c>
    </row>
    <row r="46" spans="1:10" ht="45.75" customHeight="1" x14ac:dyDescent="0.2">
      <c r="A46" s="635">
        <v>11</v>
      </c>
      <c r="B46" s="604" t="s">
        <v>1555</v>
      </c>
      <c r="C46" s="296" t="s">
        <v>168</v>
      </c>
      <c r="D46" s="161"/>
      <c r="E46" s="63"/>
      <c r="F46" s="636"/>
      <c r="G46" s="636"/>
      <c r="H46" s="845">
        <v>86604</v>
      </c>
      <c r="I46" s="847">
        <v>71640.41</v>
      </c>
      <c r="J46" s="273">
        <f t="shared" si="4"/>
        <v>82.72182578171909</v>
      </c>
    </row>
    <row r="47" spans="1:10" ht="45.75" customHeight="1" x14ac:dyDescent="0.2">
      <c r="A47" s="635">
        <v>12</v>
      </c>
      <c r="B47" s="604" t="s">
        <v>1554</v>
      </c>
      <c r="C47" s="296" t="s">
        <v>189</v>
      </c>
      <c r="D47" s="161"/>
      <c r="E47" s="63"/>
      <c r="F47" s="636"/>
      <c r="G47" s="636"/>
      <c r="H47" s="845">
        <v>48000</v>
      </c>
      <c r="I47" s="847">
        <v>25279.599999999999</v>
      </c>
      <c r="J47" s="273">
        <f t="shared" si="4"/>
        <v>52.665833333333332</v>
      </c>
    </row>
    <row r="48" spans="1:10" ht="45.75" customHeight="1" x14ac:dyDescent="0.2">
      <c r="A48" s="635">
        <v>13</v>
      </c>
      <c r="B48" s="604" t="s">
        <v>2274</v>
      </c>
      <c r="C48" s="296" t="s">
        <v>168</v>
      </c>
      <c r="D48" s="161"/>
      <c r="E48" s="63"/>
      <c r="F48" s="636"/>
      <c r="G48" s="636"/>
      <c r="H48" s="845">
        <v>135850</v>
      </c>
      <c r="I48" s="847">
        <v>121256.87000000001</v>
      </c>
      <c r="J48" s="273">
        <f t="shared" si="4"/>
        <v>89.257909458962089</v>
      </c>
    </row>
    <row r="49" spans="1:10" ht="45.75" customHeight="1" x14ac:dyDescent="0.2">
      <c r="A49" s="635">
        <v>14</v>
      </c>
      <c r="B49" s="604" t="s">
        <v>1553</v>
      </c>
      <c r="C49" s="296" t="s">
        <v>189</v>
      </c>
      <c r="D49" s="161"/>
      <c r="E49" s="63"/>
      <c r="F49" s="636"/>
      <c r="G49" s="636"/>
      <c r="H49" s="845">
        <v>84000</v>
      </c>
      <c r="I49" s="847">
        <v>64107.3</v>
      </c>
      <c r="J49" s="273">
        <f t="shared" si="4"/>
        <v>76.318214285714291</v>
      </c>
    </row>
    <row r="50" spans="1:10" ht="45.75" customHeight="1" x14ac:dyDescent="0.2">
      <c r="A50" s="635">
        <v>15</v>
      </c>
      <c r="B50" s="604" t="s">
        <v>1552</v>
      </c>
      <c r="C50" s="296" t="s">
        <v>1055</v>
      </c>
      <c r="D50" s="161"/>
      <c r="E50" s="63"/>
      <c r="F50" s="636"/>
      <c r="G50" s="636"/>
      <c r="H50" s="845">
        <v>37000</v>
      </c>
      <c r="I50" s="637">
        <v>33442.14</v>
      </c>
      <c r="J50" s="273">
        <f t="shared" si="4"/>
        <v>90.38416216216217</v>
      </c>
    </row>
    <row r="51" spans="1:10" ht="45.75" customHeight="1" x14ac:dyDescent="0.2">
      <c r="A51" s="635">
        <v>16</v>
      </c>
      <c r="B51" s="604" t="s">
        <v>1551</v>
      </c>
      <c r="C51" s="296" t="s">
        <v>170</v>
      </c>
      <c r="D51" s="161"/>
      <c r="E51" s="63"/>
      <c r="F51" s="636"/>
      <c r="G51" s="636"/>
      <c r="H51" s="845">
        <v>92000</v>
      </c>
      <c r="I51" s="637">
        <v>81731.210000000006</v>
      </c>
      <c r="J51" s="273">
        <f t="shared" si="4"/>
        <v>88.838271739130434</v>
      </c>
    </row>
    <row r="52" spans="1:10" ht="45.75" customHeight="1" x14ac:dyDescent="0.2">
      <c r="A52" s="635">
        <v>17</v>
      </c>
      <c r="B52" s="604" t="s">
        <v>1550</v>
      </c>
      <c r="C52" s="358" t="s">
        <v>170</v>
      </c>
      <c r="D52" s="161"/>
      <c r="E52" s="63"/>
      <c r="F52" s="636"/>
      <c r="G52" s="636"/>
      <c r="H52" s="845">
        <v>36640</v>
      </c>
      <c r="I52" s="637">
        <v>21876.78</v>
      </c>
      <c r="J52" s="273">
        <f t="shared" si="4"/>
        <v>59.707368995633182</v>
      </c>
    </row>
    <row r="53" spans="1:10" ht="45.75" customHeight="1" x14ac:dyDescent="0.2">
      <c r="A53" s="635">
        <v>18</v>
      </c>
      <c r="B53" s="604" t="s">
        <v>1549</v>
      </c>
      <c r="C53" s="296" t="s">
        <v>1185</v>
      </c>
      <c r="D53" s="161"/>
      <c r="E53" s="63"/>
      <c r="F53" s="636"/>
      <c r="G53" s="636"/>
      <c r="H53" s="845">
        <v>120553</v>
      </c>
      <c r="I53" s="637">
        <v>84461.84</v>
      </c>
      <c r="J53" s="273">
        <f t="shared" si="4"/>
        <v>70.061997627599482</v>
      </c>
    </row>
    <row r="54" spans="1:10" ht="45.75" customHeight="1" x14ac:dyDescent="0.2">
      <c r="A54" s="635">
        <v>19</v>
      </c>
      <c r="B54" s="604" t="s">
        <v>1548</v>
      </c>
      <c r="C54" s="296" t="s">
        <v>1055</v>
      </c>
      <c r="D54" s="161"/>
      <c r="E54" s="63"/>
      <c r="F54" s="636"/>
      <c r="G54" s="636"/>
      <c r="H54" s="845">
        <v>1000000</v>
      </c>
      <c r="I54" s="637">
        <v>233130</v>
      </c>
      <c r="J54" s="273">
        <f t="shared" si="4"/>
        <v>23.312999999999999</v>
      </c>
    </row>
    <row r="55" spans="1:10" ht="33.75" customHeight="1" x14ac:dyDescent="0.2">
      <c r="A55" s="635">
        <v>20</v>
      </c>
      <c r="B55" s="604" t="s">
        <v>1547</v>
      </c>
      <c r="C55" s="296" t="s">
        <v>629</v>
      </c>
      <c r="D55" s="161"/>
      <c r="E55" s="63"/>
      <c r="F55" s="636"/>
      <c r="G55" s="636"/>
      <c r="H55" s="845">
        <v>189686</v>
      </c>
      <c r="I55" s="637">
        <v>125832.51</v>
      </c>
      <c r="J55" s="273">
        <f t="shared" si="4"/>
        <v>66.337267905907666</v>
      </c>
    </row>
    <row r="56" spans="1:10" ht="34.5" customHeight="1" x14ac:dyDescent="0.2">
      <c r="A56" s="635">
        <v>21</v>
      </c>
      <c r="B56" s="604" t="s">
        <v>1546</v>
      </c>
      <c r="C56" s="296" t="s">
        <v>629</v>
      </c>
      <c r="D56" s="161"/>
      <c r="E56" s="63"/>
      <c r="F56" s="636"/>
      <c r="G56" s="636"/>
      <c r="H56" s="845">
        <v>188649</v>
      </c>
      <c r="I56" s="637">
        <v>130958.03</v>
      </c>
      <c r="J56" s="273">
        <f t="shared" si="4"/>
        <v>69.418883747064655</v>
      </c>
    </row>
    <row r="57" spans="1:10" ht="45.75" customHeight="1" x14ac:dyDescent="0.2">
      <c r="A57" s="635">
        <v>22</v>
      </c>
      <c r="B57" s="604" t="s">
        <v>1545</v>
      </c>
      <c r="C57" s="296" t="s">
        <v>46</v>
      </c>
      <c r="D57" s="161"/>
      <c r="E57" s="63"/>
      <c r="F57" s="636"/>
      <c r="G57" s="636"/>
      <c r="H57" s="845">
        <v>130000</v>
      </c>
      <c r="I57" s="637">
        <v>114968.13</v>
      </c>
      <c r="J57" s="273">
        <f t="shared" si="4"/>
        <v>88.437023076923083</v>
      </c>
    </row>
    <row r="58" spans="1:10" ht="30" customHeight="1" x14ac:dyDescent="0.2">
      <c r="A58" s="635">
        <v>22</v>
      </c>
      <c r="B58" s="604" t="s">
        <v>2278</v>
      </c>
      <c r="C58" s="296" t="s">
        <v>631</v>
      </c>
      <c r="D58" s="161"/>
      <c r="E58" s="63"/>
      <c r="F58" s="636"/>
      <c r="G58" s="636"/>
      <c r="H58" s="845">
        <v>89313</v>
      </c>
      <c r="I58" s="847">
        <v>29649.82</v>
      </c>
      <c r="J58" s="273">
        <f>+I58/H58*100</f>
        <v>33.197653197182944</v>
      </c>
    </row>
    <row r="59" spans="1:10" ht="36" customHeight="1" x14ac:dyDescent="0.2">
      <c r="A59" s="635">
        <v>23</v>
      </c>
      <c r="B59" s="604" t="s">
        <v>2273</v>
      </c>
      <c r="C59" s="296" t="s">
        <v>629</v>
      </c>
      <c r="D59" s="161"/>
      <c r="E59" s="63"/>
      <c r="F59" s="636"/>
      <c r="G59" s="636"/>
      <c r="H59" s="845">
        <v>88201</v>
      </c>
      <c r="I59" s="847">
        <v>54676.58</v>
      </c>
      <c r="J59" s="273">
        <f>+I59/H59*100</f>
        <v>61.990884457092321</v>
      </c>
    </row>
    <row r="60" spans="1:10" ht="18.75" customHeight="1" x14ac:dyDescent="0.2">
      <c r="A60" s="985" t="s">
        <v>560</v>
      </c>
      <c r="B60" s="985"/>
      <c r="C60" s="163"/>
      <c r="D60" s="163"/>
      <c r="E60" s="25"/>
      <c r="F60" s="25"/>
      <c r="G60" s="25"/>
      <c r="H60" s="67">
        <f>SUM(H61:H114)+H115+H122+H133+H222+H134</f>
        <v>16285605</v>
      </c>
      <c r="I60" s="81">
        <f>SUM(I61:I114)+I115+I122+I133+I222+I134</f>
        <v>16285495.27</v>
      </c>
      <c r="J60" s="39"/>
    </row>
    <row r="61" spans="1:10" ht="18.75" customHeight="1" x14ac:dyDescent="0.2">
      <c r="A61" s="1046" t="s">
        <v>2145</v>
      </c>
      <c r="B61" s="1047"/>
      <c r="C61" s="163"/>
      <c r="D61" s="436"/>
      <c r="E61" s="39"/>
      <c r="F61" s="39"/>
      <c r="G61" s="25"/>
      <c r="H61" s="638"/>
      <c r="I61" s="39"/>
      <c r="J61" s="39"/>
    </row>
    <row r="62" spans="1:10" ht="27.75" customHeight="1" x14ac:dyDescent="0.2">
      <c r="A62" s="639">
        <v>1.1000000000000001</v>
      </c>
      <c r="B62" s="640" t="s">
        <v>2265</v>
      </c>
      <c r="C62" s="601" t="s">
        <v>46</v>
      </c>
      <c r="D62" s="153" t="s">
        <v>459</v>
      </c>
      <c r="E62" s="37">
        <v>50</v>
      </c>
      <c r="F62" s="39">
        <v>50</v>
      </c>
      <c r="G62" s="349">
        <f t="shared" ref="G62:G70" si="5">+F62/E62*100</f>
        <v>100</v>
      </c>
      <c r="H62" s="39">
        <v>253733</v>
      </c>
      <c r="I62" s="313">
        <v>253733</v>
      </c>
      <c r="J62" s="847">
        <f>+I62/H62*100</f>
        <v>100</v>
      </c>
    </row>
    <row r="63" spans="1:10" ht="18.75" customHeight="1" x14ac:dyDescent="0.2">
      <c r="A63" s="1050" t="s">
        <v>2146</v>
      </c>
      <c r="B63" s="1051"/>
      <c r="C63" s="601" t="s">
        <v>46</v>
      </c>
      <c r="D63" s="153" t="s">
        <v>526</v>
      </c>
      <c r="E63" s="38">
        <v>264</v>
      </c>
      <c r="F63" s="38">
        <v>195</v>
      </c>
      <c r="G63" s="349">
        <f t="shared" si="5"/>
        <v>73.86363636363636</v>
      </c>
      <c r="H63" s="45">
        <v>131720</v>
      </c>
      <c r="I63" s="278">
        <v>131719.60999999999</v>
      </c>
      <c r="J63" s="847">
        <f>+I63/H63*100</f>
        <v>99.999703917400538</v>
      </c>
    </row>
    <row r="64" spans="1:10" ht="18.75" customHeight="1" x14ac:dyDescent="0.2">
      <c r="A64" s="641">
        <v>2.1</v>
      </c>
      <c r="B64" s="642" t="s">
        <v>2119</v>
      </c>
      <c r="C64" s="601" t="s">
        <v>46</v>
      </c>
      <c r="D64" s="153" t="s">
        <v>459</v>
      </c>
      <c r="E64" s="37">
        <v>200</v>
      </c>
      <c r="F64" s="390">
        <v>250</v>
      </c>
      <c r="G64" s="349">
        <f t="shared" si="5"/>
        <v>125</v>
      </c>
      <c r="H64" s="38"/>
      <c r="I64" s="277"/>
      <c r="J64" s="39"/>
    </row>
    <row r="65" spans="1:10" ht="18.75" customHeight="1" x14ac:dyDescent="0.2">
      <c r="A65" s="643" t="s">
        <v>2147</v>
      </c>
      <c r="B65" s="644"/>
      <c r="C65" s="601" t="s">
        <v>46</v>
      </c>
      <c r="D65" s="153" t="s">
        <v>459</v>
      </c>
      <c r="E65" s="38">
        <v>8100</v>
      </c>
      <c r="F65" s="38">
        <v>3725</v>
      </c>
      <c r="G65" s="349">
        <f t="shared" si="5"/>
        <v>45.987654320987652</v>
      </c>
      <c r="H65" s="45">
        <v>2844270</v>
      </c>
      <c r="I65" s="278">
        <v>2800290</v>
      </c>
      <c r="J65" s="847">
        <f>+I65/H65*100</f>
        <v>98.453733295362255</v>
      </c>
    </row>
    <row r="66" spans="1:10" ht="18.75" customHeight="1" x14ac:dyDescent="0.2">
      <c r="A66" s="485" t="s">
        <v>2282</v>
      </c>
      <c r="B66" s="485" t="s">
        <v>2032</v>
      </c>
      <c r="C66" s="601" t="s">
        <v>46</v>
      </c>
      <c r="D66" s="153" t="s">
        <v>459</v>
      </c>
      <c r="E66" s="122">
        <v>4500</v>
      </c>
      <c r="F66" s="38">
        <v>5771</v>
      </c>
      <c r="G66" s="349">
        <f t="shared" si="5"/>
        <v>128.24444444444444</v>
      </c>
      <c r="H66" s="38"/>
      <c r="I66" s="277"/>
      <c r="J66" s="39"/>
    </row>
    <row r="67" spans="1:10" ht="18.75" customHeight="1" x14ac:dyDescent="0.2">
      <c r="A67" s="485">
        <v>3.2</v>
      </c>
      <c r="B67" s="485" t="s">
        <v>2033</v>
      </c>
      <c r="C67" s="601" t="s">
        <v>46</v>
      </c>
      <c r="D67" s="153" t="s">
        <v>459</v>
      </c>
      <c r="E67" s="845">
        <v>10950</v>
      </c>
      <c r="F67" s="37">
        <v>14275</v>
      </c>
      <c r="G67" s="349">
        <f t="shared" si="5"/>
        <v>130.36529680365297</v>
      </c>
      <c r="H67" s="38"/>
      <c r="I67" s="277"/>
      <c r="J67" s="39"/>
    </row>
    <row r="68" spans="1:10" ht="18.75" customHeight="1" x14ac:dyDescent="0.2">
      <c r="A68" s="485">
        <v>3.3</v>
      </c>
      <c r="B68" s="485" t="s">
        <v>456</v>
      </c>
      <c r="C68" s="601" t="s">
        <v>46</v>
      </c>
      <c r="D68" s="153" t="s">
        <v>459</v>
      </c>
      <c r="E68" s="845">
        <v>299</v>
      </c>
      <c r="F68" s="37">
        <v>267</v>
      </c>
      <c r="G68" s="349">
        <f t="shared" si="5"/>
        <v>89.297658862876247</v>
      </c>
      <c r="H68" s="38"/>
      <c r="I68" s="277"/>
      <c r="J68" s="39"/>
    </row>
    <row r="69" spans="1:10" ht="18.75" customHeight="1" x14ac:dyDescent="0.2">
      <c r="A69" s="485">
        <v>3.4</v>
      </c>
      <c r="B69" s="485" t="s">
        <v>2034</v>
      </c>
      <c r="C69" s="292" t="s">
        <v>40</v>
      </c>
      <c r="D69" s="645" t="s">
        <v>794</v>
      </c>
      <c r="E69" s="37">
        <v>60</v>
      </c>
      <c r="F69" s="37">
        <v>60</v>
      </c>
      <c r="G69" s="349">
        <f t="shared" si="5"/>
        <v>100</v>
      </c>
      <c r="H69" s="38"/>
      <c r="I69" s="277"/>
      <c r="J69" s="39"/>
    </row>
    <row r="70" spans="1:10" ht="18.75" customHeight="1" x14ac:dyDescent="0.2">
      <c r="A70" s="485">
        <v>3.5</v>
      </c>
      <c r="B70" s="485" t="s">
        <v>2035</v>
      </c>
      <c r="C70" s="292" t="s">
        <v>40</v>
      </c>
      <c r="D70" s="645" t="s">
        <v>562</v>
      </c>
      <c r="E70" s="37">
        <v>80</v>
      </c>
      <c r="F70" s="63">
        <v>80</v>
      </c>
      <c r="G70" s="349">
        <f t="shared" si="5"/>
        <v>100</v>
      </c>
      <c r="H70" s="38"/>
      <c r="I70" s="277"/>
      <c r="J70" s="39"/>
    </row>
    <row r="71" spans="1:10" ht="18.75" customHeight="1" x14ac:dyDescent="0.2">
      <c r="A71" s="542">
        <v>3.6</v>
      </c>
      <c r="B71" s="461" t="s">
        <v>2036</v>
      </c>
      <c r="C71" s="183"/>
      <c r="D71" s="171"/>
      <c r="E71" s="845"/>
      <c r="F71" s="63"/>
      <c r="G71" s="349"/>
      <c r="H71" s="45">
        <v>22662</v>
      </c>
      <c r="I71" s="278">
        <v>22662</v>
      </c>
      <c r="J71" s="847">
        <f>+I71/H71*100</f>
        <v>100</v>
      </c>
    </row>
    <row r="72" spans="1:10" ht="18.75" customHeight="1" x14ac:dyDescent="0.2">
      <c r="A72" s="1052" t="s">
        <v>2148</v>
      </c>
      <c r="B72" s="1039" t="s">
        <v>2116</v>
      </c>
      <c r="C72" s="1031" t="s">
        <v>40</v>
      </c>
      <c r="D72" s="153" t="s">
        <v>2044</v>
      </c>
      <c r="E72" s="37">
        <f>1500+1800</f>
        <v>3300</v>
      </c>
      <c r="F72" s="273">
        <f>787.5+196</f>
        <v>983.5</v>
      </c>
      <c r="G72" s="349">
        <f t="shared" ref="G72:G81" si="6">+F72/E72*100</f>
        <v>29.803030303030305</v>
      </c>
      <c r="H72" s="38"/>
      <c r="I72" s="277"/>
      <c r="J72" s="39"/>
    </row>
    <row r="73" spans="1:10" ht="18.75" customHeight="1" x14ac:dyDescent="0.2">
      <c r="A73" s="1053"/>
      <c r="B73" s="1042"/>
      <c r="C73" s="1041"/>
      <c r="D73" s="153" t="s">
        <v>2045</v>
      </c>
      <c r="E73" s="37">
        <f>300+360</f>
        <v>660</v>
      </c>
      <c r="F73" s="273">
        <f>121.15+30</f>
        <v>151.15</v>
      </c>
      <c r="G73" s="349">
        <f t="shared" si="6"/>
        <v>22.901515151515152</v>
      </c>
      <c r="H73" s="38"/>
      <c r="I73" s="277"/>
      <c r="J73" s="39"/>
    </row>
    <row r="74" spans="1:10" ht="14.25" customHeight="1" x14ac:dyDescent="0.2">
      <c r="A74" s="1053"/>
      <c r="B74" s="1042"/>
      <c r="C74" s="1041"/>
      <c r="D74" s="153" t="s">
        <v>565</v>
      </c>
      <c r="E74" s="37">
        <f>300+360</f>
        <v>660</v>
      </c>
      <c r="F74" s="37">
        <f>95+53</f>
        <v>148</v>
      </c>
      <c r="G74" s="349">
        <f t="shared" si="6"/>
        <v>22.424242424242426</v>
      </c>
      <c r="H74" s="38"/>
      <c r="I74" s="277"/>
      <c r="J74" s="39"/>
    </row>
    <row r="75" spans="1:10" ht="15.75" customHeight="1" x14ac:dyDescent="0.2">
      <c r="A75" s="1054"/>
      <c r="B75" s="1040"/>
      <c r="C75" s="1032"/>
      <c r="D75" s="153" t="s">
        <v>2046</v>
      </c>
      <c r="E75" s="37">
        <f>75750+49500</f>
        <v>125250</v>
      </c>
      <c r="F75" s="273">
        <f>40298.75+5505</f>
        <v>45803.75</v>
      </c>
      <c r="G75" s="349">
        <f t="shared" si="6"/>
        <v>36.569860279441116</v>
      </c>
      <c r="H75" s="38"/>
      <c r="I75" s="277"/>
      <c r="J75" s="39"/>
    </row>
    <row r="76" spans="1:10" ht="18.75" customHeight="1" x14ac:dyDescent="0.2">
      <c r="A76" s="1052" t="s">
        <v>2149</v>
      </c>
      <c r="B76" s="1039" t="s">
        <v>2117</v>
      </c>
      <c r="C76" s="1031" t="s">
        <v>40</v>
      </c>
      <c r="D76" s="153" t="s">
        <v>2047</v>
      </c>
      <c r="E76" s="37">
        <v>112</v>
      </c>
      <c r="F76" s="37">
        <v>19</v>
      </c>
      <c r="G76" s="349">
        <f>+F76/E76*100</f>
        <v>16.964285714285715</v>
      </c>
      <c r="H76" s="38"/>
      <c r="I76" s="277"/>
      <c r="J76" s="39"/>
    </row>
    <row r="77" spans="1:10" ht="18.75" customHeight="1" x14ac:dyDescent="0.2">
      <c r="A77" s="1054"/>
      <c r="B77" s="1040"/>
      <c r="C77" s="1032"/>
      <c r="D77" s="153" t="s">
        <v>220</v>
      </c>
      <c r="E77" s="37">
        <v>124</v>
      </c>
      <c r="F77" s="37">
        <v>31</v>
      </c>
      <c r="G77" s="349">
        <f>+F77/E77*100</f>
        <v>25</v>
      </c>
      <c r="H77" s="38"/>
      <c r="I77" s="277"/>
      <c r="J77" s="39"/>
    </row>
    <row r="78" spans="1:10" ht="23.25" customHeight="1" x14ac:dyDescent="0.2">
      <c r="A78" s="646">
        <v>4</v>
      </c>
      <c r="B78" s="647" t="s">
        <v>2150</v>
      </c>
      <c r="C78" s="554"/>
      <c r="D78" s="436"/>
      <c r="E78" s="845"/>
      <c r="F78" s="63"/>
      <c r="G78" s="349"/>
      <c r="H78" s="24">
        <v>45607</v>
      </c>
      <c r="I78" s="318">
        <v>45607</v>
      </c>
      <c r="J78" s="847">
        <f>+I78/H78*100</f>
        <v>100</v>
      </c>
    </row>
    <row r="79" spans="1:10" ht="27.75" customHeight="1" x14ac:dyDescent="0.2">
      <c r="A79" s="542">
        <v>4.0999999999999996</v>
      </c>
      <c r="B79" s="342" t="s">
        <v>530</v>
      </c>
      <c r="C79" s="648" t="s">
        <v>40</v>
      </c>
      <c r="D79" s="154" t="s">
        <v>531</v>
      </c>
      <c r="E79" s="38">
        <v>1</v>
      </c>
      <c r="F79" s="38">
        <v>1</v>
      </c>
      <c r="G79" s="349">
        <f t="shared" si="6"/>
        <v>100</v>
      </c>
      <c r="H79" s="38"/>
      <c r="I79" s="277"/>
      <c r="J79" s="39"/>
    </row>
    <row r="80" spans="1:10" ht="30.75" customHeight="1" x14ac:dyDescent="0.2">
      <c r="A80" s="542">
        <v>4.2</v>
      </c>
      <c r="B80" s="19" t="s">
        <v>2118</v>
      </c>
      <c r="C80" s="164" t="s">
        <v>40</v>
      </c>
      <c r="D80" s="153" t="s">
        <v>533</v>
      </c>
      <c r="E80" s="38">
        <v>770000</v>
      </c>
      <c r="F80" s="38">
        <v>109581</v>
      </c>
      <c r="G80" s="349">
        <f t="shared" si="6"/>
        <v>14.2312987012987</v>
      </c>
      <c r="H80" s="38"/>
      <c r="I80" s="277"/>
      <c r="J80" s="39"/>
    </row>
    <row r="81" spans="1:10" ht="24" customHeight="1" x14ac:dyDescent="0.2">
      <c r="A81" s="542">
        <v>4.3</v>
      </c>
      <c r="B81" s="342" t="s">
        <v>532</v>
      </c>
      <c r="C81" s="342" t="s">
        <v>40</v>
      </c>
      <c r="D81" s="649" t="s">
        <v>42</v>
      </c>
      <c r="E81" s="890">
        <v>13</v>
      </c>
      <c r="F81" s="890">
        <v>2</v>
      </c>
      <c r="G81" s="891">
        <f t="shared" si="6"/>
        <v>15.384615384615385</v>
      </c>
      <c r="H81" s="38"/>
      <c r="I81" s="277"/>
      <c r="J81" s="39"/>
    </row>
    <row r="82" spans="1:10" ht="18.75" customHeight="1" x14ac:dyDescent="0.2">
      <c r="A82" s="646">
        <v>5</v>
      </c>
      <c r="B82" s="308" t="s">
        <v>2151</v>
      </c>
      <c r="C82" s="163"/>
      <c r="D82" s="650" t="s">
        <v>459</v>
      </c>
      <c r="E82" s="892">
        <v>14037</v>
      </c>
      <c r="F82" s="893">
        <v>11365</v>
      </c>
      <c r="G82" s="651"/>
      <c r="H82" s="39">
        <v>1567880</v>
      </c>
      <c r="I82" s="313">
        <v>1567880</v>
      </c>
      <c r="J82" s="847">
        <f>+I82/H82*100</f>
        <v>100</v>
      </c>
    </row>
    <row r="83" spans="1:10" ht="24" customHeight="1" x14ac:dyDescent="0.2">
      <c r="A83" s="43">
        <v>6</v>
      </c>
      <c r="B83" s="643" t="s">
        <v>2152</v>
      </c>
      <c r="C83" s="466"/>
      <c r="D83" s="652"/>
      <c r="E83" s="707"/>
      <c r="F83" s="894"/>
      <c r="G83" s="651"/>
      <c r="H83" s="24">
        <v>210157</v>
      </c>
      <c r="I83" s="318">
        <v>210157</v>
      </c>
      <c r="J83" s="847">
        <f>+I83/H83*100</f>
        <v>100</v>
      </c>
    </row>
    <row r="84" spans="1:10" ht="18.75" customHeight="1" x14ac:dyDescent="0.2">
      <c r="A84" s="1043">
        <v>6.1</v>
      </c>
      <c r="B84" s="1048" t="s">
        <v>534</v>
      </c>
      <c r="C84" s="1038" t="s">
        <v>2037</v>
      </c>
      <c r="D84" s="154" t="s">
        <v>535</v>
      </c>
      <c r="E84" s="38">
        <v>9</v>
      </c>
      <c r="F84" s="38">
        <v>9</v>
      </c>
      <c r="G84" s="349">
        <f t="shared" ref="G84:G106" si="7">+F84/E84*100</f>
        <v>100</v>
      </c>
      <c r="H84" s="38"/>
      <c r="I84" s="277"/>
      <c r="J84" s="39"/>
    </row>
    <row r="85" spans="1:10" ht="18.75" customHeight="1" x14ac:dyDescent="0.2">
      <c r="A85" s="1043"/>
      <c r="B85" s="1048"/>
      <c r="C85" s="1038"/>
      <c r="D85" s="154" t="s">
        <v>536</v>
      </c>
      <c r="E85" s="38">
        <v>28</v>
      </c>
      <c r="F85" s="38">
        <v>59</v>
      </c>
      <c r="G85" s="349">
        <f t="shared" si="7"/>
        <v>210.71428571428572</v>
      </c>
      <c r="H85" s="38"/>
      <c r="I85" s="277"/>
      <c r="J85" s="39"/>
    </row>
    <row r="86" spans="1:10" ht="39" customHeight="1" x14ac:dyDescent="0.2">
      <c r="A86" s="1043"/>
      <c r="B86" s="1048"/>
      <c r="C86" s="1038"/>
      <c r="D86" s="154" t="s">
        <v>537</v>
      </c>
      <c r="E86" s="38">
        <v>9</v>
      </c>
      <c r="F86" s="38">
        <v>10</v>
      </c>
      <c r="G86" s="349">
        <f t="shared" si="7"/>
        <v>111.11111111111111</v>
      </c>
      <c r="H86" s="38"/>
      <c r="I86" s="277"/>
      <c r="J86" s="39"/>
    </row>
    <row r="87" spans="1:10" ht="15.75" customHeight="1" x14ac:dyDescent="0.2">
      <c r="A87" s="1043">
        <v>6.2</v>
      </c>
      <c r="B87" s="1048" t="s">
        <v>538</v>
      </c>
      <c r="C87" s="1038" t="s">
        <v>2037</v>
      </c>
      <c r="D87" s="154" t="s">
        <v>431</v>
      </c>
      <c r="E87" s="38">
        <v>2</v>
      </c>
      <c r="F87" s="38">
        <v>3</v>
      </c>
      <c r="G87" s="349">
        <f t="shared" si="7"/>
        <v>150</v>
      </c>
      <c r="H87" s="38"/>
      <c r="I87" s="277"/>
      <c r="J87" s="39"/>
    </row>
    <row r="88" spans="1:10" ht="17.25" customHeight="1" x14ac:dyDescent="0.2">
      <c r="A88" s="1043"/>
      <c r="B88" s="1048"/>
      <c r="C88" s="1038"/>
      <c r="D88" s="154" t="s">
        <v>539</v>
      </c>
      <c r="E88" s="38">
        <v>50</v>
      </c>
      <c r="F88" s="38">
        <v>40</v>
      </c>
      <c r="G88" s="349">
        <f t="shared" si="7"/>
        <v>80</v>
      </c>
      <c r="H88" s="38"/>
      <c r="I88" s="277"/>
      <c r="J88" s="39"/>
    </row>
    <row r="89" spans="1:10" ht="18.75" customHeight="1" x14ac:dyDescent="0.2">
      <c r="A89" s="1043">
        <v>6.3</v>
      </c>
      <c r="B89" s="1039" t="s">
        <v>540</v>
      </c>
      <c r="C89" s="1038" t="s">
        <v>2037</v>
      </c>
      <c r="D89" s="153" t="s">
        <v>2120</v>
      </c>
      <c r="E89" s="38">
        <v>81</v>
      </c>
      <c r="F89" s="38">
        <v>13</v>
      </c>
      <c r="G89" s="349">
        <f t="shared" si="7"/>
        <v>16.049382716049383</v>
      </c>
      <c r="H89" s="38"/>
      <c r="I89" s="277"/>
      <c r="J89" s="39"/>
    </row>
    <row r="90" spans="1:10" ht="18.75" customHeight="1" x14ac:dyDescent="0.2">
      <c r="A90" s="1043"/>
      <c r="B90" s="1042"/>
      <c r="C90" s="1038"/>
      <c r="D90" s="153" t="s">
        <v>541</v>
      </c>
      <c r="E90" s="37">
        <v>1524</v>
      </c>
      <c r="F90" s="38">
        <v>362</v>
      </c>
      <c r="G90" s="349">
        <f t="shared" si="7"/>
        <v>23.753280839895012</v>
      </c>
      <c r="H90" s="38"/>
      <c r="I90" s="277"/>
      <c r="J90" s="39"/>
    </row>
    <row r="91" spans="1:10" ht="18.75" customHeight="1" x14ac:dyDescent="0.2">
      <c r="A91" s="1043"/>
      <c r="B91" s="1040"/>
      <c r="C91" s="1038"/>
      <c r="D91" s="153" t="s">
        <v>542</v>
      </c>
      <c r="E91" s="38">
        <v>81</v>
      </c>
      <c r="F91" s="38">
        <v>13</v>
      </c>
      <c r="G91" s="349">
        <f t="shared" si="7"/>
        <v>16.049382716049383</v>
      </c>
      <c r="H91" s="38"/>
      <c r="I91" s="277"/>
      <c r="J91" s="39"/>
    </row>
    <row r="92" spans="1:10" ht="18.75" customHeight="1" x14ac:dyDescent="0.2">
      <c r="A92" s="1043">
        <v>6.4</v>
      </c>
      <c r="B92" s="1049" t="s">
        <v>2038</v>
      </c>
      <c r="C92" s="1055" t="s">
        <v>2037</v>
      </c>
      <c r="D92" s="155" t="s">
        <v>431</v>
      </c>
      <c r="E92" s="38">
        <v>4</v>
      </c>
      <c r="F92" s="38">
        <v>2</v>
      </c>
      <c r="G92" s="349">
        <f t="shared" si="7"/>
        <v>50</v>
      </c>
      <c r="H92" s="38"/>
      <c r="I92" s="277"/>
      <c r="J92" s="39"/>
    </row>
    <row r="93" spans="1:10" ht="26.25" customHeight="1" x14ac:dyDescent="0.2">
      <c r="A93" s="1043"/>
      <c r="B93" s="1049"/>
      <c r="C93" s="1055"/>
      <c r="D93" s="569" t="s">
        <v>544</v>
      </c>
      <c r="E93" s="38">
        <v>80</v>
      </c>
      <c r="F93" s="38">
        <v>40</v>
      </c>
      <c r="G93" s="349">
        <f t="shared" si="7"/>
        <v>50</v>
      </c>
      <c r="H93" s="38"/>
      <c r="I93" s="277"/>
      <c r="J93" s="39"/>
    </row>
    <row r="94" spans="1:10" ht="18.75" customHeight="1" x14ac:dyDescent="0.2">
      <c r="A94" s="1043">
        <v>6.5</v>
      </c>
      <c r="B94" s="1048" t="s">
        <v>545</v>
      </c>
      <c r="C94" s="1045" t="s">
        <v>2037</v>
      </c>
      <c r="D94" s="153" t="s">
        <v>431</v>
      </c>
      <c r="E94" s="38">
        <v>2</v>
      </c>
      <c r="F94" s="38">
        <v>2</v>
      </c>
      <c r="G94" s="349">
        <f t="shared" si="7"/>
        <v>100</v>
      </c>
      <c r="H94" s="38"/>
      <c r="I94" s="277"/>
      <c r="J94" s="39"/>
    </row>
    <row r="95" spans="1:10" ht="21" customHeight="1" x14ac:dyDescent="0.2">
      <c r="A95" s="1043"/>
      <c r="B95" s="1048"/>
      <c r="C95" s="1045"/>
      <c r="D95" s="153" t="s">
        <v>546</v>
      </c>
      <c r="E95" s="38">
        <v>50</v>
      </c>
      <c r="F95" s="38">
        <v>62</v>
      </c>
      <c r="G95" s="349">
        <f t="shared" si="7"/>
        <v>124</v>
      </c>
      <c r="H95" s="38"/>
      <c r="I95" s="277"/>
      <c r="J95" s="39"/>
    </row>
    <row r="96" spans="1:10" ht="30" customHeight="1" x14ac:dyDescent="0.2">
      <c r="A96" s="542">
        <v>6.6</v>
      </c>
      <c r="B96" s="605" t="s">
        <v>547</v>
      </c>
      <c r="C96" s="294" t="s">
        <v>2037</v>
      </c>
      <c r="D96" s="153" t="s">
        <v>95</v>
      </c>
      <c r="E96" s="38">
        <v>2</v>
      </c>
      <c r="F96" s="38">
        <v>1</v>
      </c>
      <c r="G96" s="349">
        <f t="shared" si="7"/>
        <v>50</v>
      </c>
      <c r="H96" s="38"/>
      <c r="I96" s="277"/>
      <c r="J96" s="39"/>
    </row>
    <row r="97" spans="1:10" ht="18.75" customHeight="1" x14ac:dyDescent="0.2">
      <c r="A97" s="1043">
        <v>6.7</v>
      </c>
      <c r="B97" s="1048" t="s">
        <v>548</v>
      </c>
      <c r="C97" s="294" t="s">
        <v>2039</v>
      </c>
      <c r="D97" s="153" t="s">
        <v>549</v>
      </c>
      <c r="E97" s="38">
        <v>76</v>
      </c>
      <c r="F97" s="38">
        <v>58</v>
      </c>
      <c r="G97" s="349">
        <f t="shared" si="7"/>
        <v>76.31578947368422</v>
      </c>
      <c r="H97" s="38"/>
      <c r="I97" s="277"/>
      <c r="J97" s="39"/>
    </row>
    <row r="98" spans="1:10" ht="18.75" customHeight="1" x14ac:dyDescent="0.2">
      <c r="A98" s="1043"/>
      <c r="B98" s="1048"/>
      <c r="C98" s="1045" t="s">
        <v>2037</v>
      </c>
      <c r="D98" s="153" t="s">
        <v>550</v>
      </c>
      <c r="E98" s="38">
        <v>401</v>
      </c>
      <c r="F98" s="38">
        <v>680</v>
      </c>
      <c r="G98" s="349">
        <f t="shared" si="7"/>
        <v>169.57605985037407</v>
      </c>
      <c r="H98" s="38"/>
      <c r="I98" s="277"/>
      <c r="J98" s="39"/>
    </row>
    <row r="99" spans="1:10" ht="18.75" customHeight="1" x14ac:dyDescent="0.2">
      <c r="A99" s="1043"/>
      <c r="B99" s="1048"/>
      <c r="C99" s="1045"/>
      <c r="D99" s="153" t="s">
        <v>551</v>
      </c>
      <c r="E99" s="38">
        <v>76</v>
      </c>
      <c r="F99" s="38">
        <v>75</v>
      </c>
      <c r="G99" s="349">
        <f t="shared" si="7"/>
        <v>98.68421052631578</v>
      </c>
      <c r="H99" s="38"/>
      <c r="I99" s="277"/>
      <c r="J99" s="39"/>
    </row>
    <row r="100" spans="1:10" ht="18.75" customHeight="1" x14ac:dyDescent="0.2">
      <c r="A100" s="1043"/>
      <c r="B100" s="1048"/>
      <c r="C100" s="1045"/>
      <c r="D100" s="153" t="s">
        <v>411</v>
      </c>
      <c r="E100" s="38">
        <v>76</v>
      </c>
      <c r="F100" s="38">
        <v>75</v>
      </c>
      <c r="G100" s="349">
        <f t="shared" si="7"/>
        <v>98.68421052631578</v>
      </c>
      <c r="H100" s="38"/>
      <c r="I100" s="277"/>
      <c r="J100" s="39"/>
    </row>
    <row r="101" spans="1:10" ht="18.75" customHeight="1" x14ac:dyDescent="0.2">
      <c r="A101" s="1043"/>
      <c r="B101" s="1048"/>
      <c r="C101" s="1045"/>
      <c r="D101" s="153" t="s">
        <v>2121</v>
      </c>
      <c r="E101" s="37">
        <v>20</v>
      </c>
      <c r="F101" s="37">
        <v>2</v>
      </c>
      <c r="G101" s="349">
        <f t="shared" si="7"/>
        <v>10</v>
      </c>
      <c r="H101" s="38"/>
      <c r="I101" s="277"/>
      <c r="J101" s="39"/>
    </row>
    <row r="102" spans="1:10" ht="18.75" customHeight="1" x14ac:dyDescent="0.2">
      <c r="A102" s="1043"/>
      <c r="B102" s="1048"/>
      <c r="C102" s="1045"/>
      <c r="D102" s="153" t="s">
        <v>2048</v>
      </c>
      <c r="E102" s="37">
        <v>60000</v>
      </c>
      <c r="F102" s="37">
        <v>3000</v>
      </c>
      <c r="G102" s="349">
        <f t="shared" si="7"/>
        <v>5</v>
      </c>
      <c r="H102" s="38"/>
      <c r="I102" s="277"/>
      <c r="J102" s="39"/>
    </row>
    <row r="103" spans="1:10" ht="18.75" customHeight="1" x14ac:dyDescent="0.2">
      <c r="A103" s="1043">
        <v>6.8</v>
      </c>
      <c r="B103" s="1048" t="s">
        <v>552</v>
      </c>
      <c r="C103" s="1038" t="s">
        <v>2037</v>
      </c>
      <c r="D103" s="153" t="s">
        <v>431</v>
      </c>
      <c r="E103" s="38">
        <v>2</v>
      </c>
      <c r="F103" s="38">
        <v>1</v>
      </c>
      <c r="G103" s="349">
        <f t="shared" si="7"/>
        <v>50</v>
      </c>
      <c r="H103" s="38"/>
      <c r="I103" s="277"/>
      <c r="J103" s="39"/>
    </row>
    <row r="104" spans="1:10" ht="18.75" customHeight="1" x14ac:dyDescent="0.2">
      <c r="A104" s="1043"/>
      <c r="B104" s="1048"/>
      <c r="C104" s="1038"/>
      <c r="D104" s="153" t="s">
        <v>553</v>
      </c>
      <c r="E104" s="38">
        <v>2</v>
      </c>
      <c r="F104" s="38">
        <v>1</v>
      </c>
      <c r="G104" s="349">
        <f t="shared" si="7"/>
        <v>50</v>
      </c>
      <c r="H104" s="38"/>
      <c r="I104" s="277"/>
      <c r="J104" s="39"/>
    </row>
    <row r="105" spans="1:10" ht="18.75" customHeight="1" x14ac:dyDescent="0.2">
      <c r="A105" s="1043">
        <v>6.9</v>
      </c>
      <c r="B105" s="1048" t="s">
        <v>554</v>
      </c>
      <c r="C105" s="1038" t="s">
        <v>2037</v>
      </c>
      <c r="D105" s="153" t="s">
        <v>431</v>
      </c>
      <c r="E105" s="38">
        <v>1</v>
      </c>
      <c r="F105" s="38">
        <v>1</v>
      </c>
      <c r="G105" s="349">
        <f t="shared" si="7"/>
        <v>100</v>
      </c>
      <c r="H105" s="38"/>
      <c r="I105" s="277"/>
      <c r="J105" s="39"/>
    </row>
    <row r="106" spans="1:10" ht="18.75" customHeight="1" x14ac:dyDescent="0.2">
      <c r="A106" s="1043"/>
      <c r="B106" s="1048"/>
      <c r="C106" s="1038"/>
      <c r="D106" s="153" t="s">
        <v>555</v>
      </c>
      <c r="E106" s="38">
        <v>30</v>
      </c>
      <c r="F106" s="38">
        <v>7</v>
      </c>
      <c r="G106" s="349">
        <f t="shared" si="7"/>
        <v>23.333333333333332</v>
      </c>
      <c r="H106" s="38"/>
      <c r="I106" s="277"/>
      <c r="J106" s="39"/>
    </row>
    <row r="107" spans="1:10" ht="18.75" customHeight="1" x14ac:dyDescent="0.2">
      <c r="A107" s="1044">
        <v>6.1</v>
      </c>
      <c r="B107" s="979" t="s">
        <v>2040</v>
      </c>
      <c r="C107" s="1038" t="s">
        <v>2037</v>
      </c>
      <c r="D107" s="153" t="s">
        <v>557</v>
      </c>
      <c r="E107" s="38">
        <v>3</v>
      </c>
      <c r="F107" s="38">
        <v>3</v>
      </c>
      <c r="G107" s="349">
        <f t="shared" ref="G107:G114" si="8">+F107/E107*100</f>
        <v>100</v>
      </c>
      <c r="H107" s="38"/>
      <c r="I107" s="277"/>
      <c r="J107" s="39"/>
    </row>
    <row r="108" spans="1:10" ht="18.75" customHeight="1" x14ac:dyDescent="0.2">
      <c r="A108" s="1044"/>
      <c r="B108" s="979"/>
      <c r="C108" s="1038"/>
      <c r="D108" s="153" t="s">
        <v>558</v>
      </c>
      <c r="E108" s="38">
        <v>300</v>
      </c>
      <c r="F108" s="38">
        <v>307</v>
      </c>
      <c r="G108" s="349">
        <f t="shared" si="8"/>
        <v>102.33333333333334</v>
      </c>
      <c r="H108" s="38"/>
      <c r="I108" s="277"/>
      <c r="J108" s="39"/>
    </row>
    <row r="109" spans="1:10" ht="27" customHeight="1" x14ac:dyDescent="0.2">
      <c r="A109" s="1044"/>
      <c r="B109" s="979"/>
      <c r="C109" s="1038"/>
      <c r="D109" s="153" t="s">
        <v>2049</v>
      </c>
      <c r="E109" s="38">
        <v>50</v>
      </c>
      <c r="F109" s="277">
        <v>27.28</v>
      </c>
      <c r="G109" s="349">
        <f t="shared" si="8"/>
        <v>54.559999999999995</v>
      </c>
      <c r="H109" s="38"/>
      <c r="I109" s="277"/>
      <c r="J109" s="39"/>
    </row>
    <row r="110" spans="1:10" ht="18.75" customHeight="1" x14ac:dyDescent="0.2">
      <c r="A110" s="1044"/>
      <c r="B110" s="979"/>
      <c r="C110" s="1038"/>
      <c r="D110" s="153" t="s">
        <v>411</v>
      </c>
      <c r="E110" s="38">
        <v>3</v>
      </c>
      <c r="F110" s="38">
        <v>3</v>
      </c>
      <c r="G110" s="349">
        <f t="shared" si="8"/>
        <v>100</v>
      </c>
      <c r="H110" s="38"/>
      <c r="I110" s="277"/>
      <c r="J110" s="39"/>
    </row>
    <row r="111" spans="1:10" ht="18.75" customHeight="1" x14ac:dyDescent="0.2">
      <c r="A111" s="1044"/>
      <c r="B111" s="979"/>
      <c r="C111" s="1038"/>
      <c r="D111" s="154" t="s">
        <v>469</v>
      </c>
      <c r="E111" s="38">
        <v>3</v>
      </c>
      <c r="F111" s="38">
        <v>3</v>
      </c>
      <c r="G111" s="349">
        <f t="shared" si="8"/>
        <v>100</v>
      </c>
      <c r="H111" s="38"/>
      <c r="I111" s="277"/>
      <c r="J111" s="39"/>
    </row>
    <row r="112" spans="1:10" ht="18.75" customHeight="1" x14ac:dyDescent="0.2">
      <c r="A112" s="1044"/>
      <c r="B112" s="979"/>
      <c r="C112" s="1038"/>
      <c r="D112" s="154" t="s">
        <v>559</v>
      </c>
      <c r="E112" s="38">
        <v>3</v>
      </c>
      <c r="F112" s="38">
        <v>3</v>
      </c>
      <c r="G112" s="349">
        <f t="shared" si="8"/>
        <v>100</v>
      </c>
      <c r="H112" s="38"/>
      <c r="I112" s="277"/>
      <c r="J112" s="39"/>
    </row>
    <row r="113" spans="1:10" ht="18.75" customHeight="1" x14ac:dyDescent="0.2">
      <c r="A113" s="1044"/>
      <c r="B113" s="979"/>
      <c r="C113" s="1038"/>
      <c r="D113" s="154" t="s">
        <v>431</v>
      </c>
      <c r="E113" s="38">
        <v>1</v>
      </c>
      <c r="F113" s="38">
        <v>1</v>
      </c>
      <c r="G113" s="349">
        <f t="shared" si="8"/>
        <v>100</v>
      </c>
      <c r="H113" s="38"/>
      <c r="I113" s="277"/>
      <c r="J113" s="39"/>
    </row>
    <row r="114" spans="1:10" ht="30.75" customHeight="1" x14ac:dyDescent="0.2">
      <c r="A114" s="568">
        <v>6.12</v>
      </c>
      <c r="B114" s="604" t="s">
        <v>2041</v>
      </c>
      <c r="C114" s="183" t="s">
        <v>46</v>
      </c>
      <c r="D114" s="653" t="s">
        <v>220</v>
      </c>
      <c r="E114" s="38">
        <v>4</v>
      </c>
      <c r="F114" s="38">
        <v>4</v>
      </c>
      <c r="G114" s="349">
        <f t="shared" si="8"/>
        <v>100</v>
      </c>
      <c r="H114" s="38"/>
      <c r="I114" s="277"/>
      <c r="J114" s="39"/>
    </row>
    <row r="115" spans="1:10" ht="21" customHeight="1" x14ac:dyDescent="0.2">
      <c r="A115" s="43">
        <v>1</v>
      </c>
      <c r="B115" s="654" t="s">
        <v>2122</v>
      </c>
      <c r="C115" s="281"/>
      <c r="D115" s="164"/>
      <c r="E115" s="845"/>
      <c r="F115" s="636"/>
      <c r="G115" s="895"/>
      <c r="H115" s="24">
        <f>SUM(H116:H121)</f>
        <v>2975920</v>
      </c>
      <c r="I115" s="318">
        <f>SUM(I116:I121)</f>
        <v>3039271.4299999997</v>
      </c>
      <c r="J115" s="655">
        <f t="shared" ref="J115:J134" si="9">+I115/H115*100</f>
        <v>102.12880151348153</v>
      </c>
    </row>
    <row r="116" spans="1:10" ht="26.25" customHeight="1" x14ac:dyDescent="0.2">
      <c r="A116" s="542">
        <v>1.1000000000000001</v>
      </c>
      <c r="B116" s="19" t="s">
        <v>2123</v>
      </c>
      <c r="C116" s="648" t="s">
        <v>40</v>
      </c>
      <c r="D116" s="183" t="s">
        <v>1746</v>
      </c>
      <c r="E116" s="63">
        <v>1</v>
      </c>
      <c r="F116" s="762">
        <v>1.33</v>
      </c>
      <c r="G116" s="527">
        <f>+F116/E116*100</f>
        <v>133</v>
      </c>
      <c r="H116" s="845">
        <v>205950</v>
      </c>
      <c r="I116" s="847">
        <v>3648</v>
      </c>
      <c r="J116" s="527">
        <f t="shared" si="9"/>
        <v>1.7713037144938091</v>
      </c>
    </row>
    <row r="117" spans="1:10" ht="28.5" customHeight="1" x14ac:dyDescent="0.2">
      <c r="A117" s="542">
        <v>1.2</v>
      </c>
      <c r="B117" s="19" t="s">
        <v>2124</v>
      </c>
      <c r="C117" s="648" t="s">
        <v>40</v>
      </c>
      <c r="D117" s="183" t="s">
        <v>1080</v>
      </c>
      <c r="E117" s="63">
        <v>1</v>
      </c>
      <c r="F117" s="762">
        <v>0.1</v>
      </c>
      <c r="G117" s="527">
        <f t="shared" ref="G117:G133" si="10">+F117/E117*100</f>
        <v>10</v>
      </c>
      <c r="H117" s="845">
        <v>64000</v>
      </c>
      <c r="I117" s="847">
        <v>0</v>
      </c>
      <c r="J117" s="527">
        <f t="shared" si="9"/>
        <v>0</v>
      </c>
    </row>
    <row r="118" spans="1:10" ht="25.5" customHeight="1" x14ac:dyDescent="0.2">
      <c r="A118" s="542">
        <v>1.3</v>
      </c>
      <c r="B118" s="656" t="s">
        <v>2125</v>
      </c>
      <c r="C118" s="648" t="s">
        <v>40</v>
      </c>
      <c r="D118" s="171" t="s">
        <v>82</v>
      </c>
      <c r="E118" s="845">
        <f>36+7+13</f>
        <v>56</v>
      </c>
      <c r="F118" s="862">
        <v>10</v>
      </c>
      <c r="G118" s="527">
        <f t="shared" si="10"/>
        <v>17.857142857142858</v>
      </c>
      <c r="H118" s="845">
        <v>1098450</v>
      </c>
      <c r="I118" s="847">
        <v>1098450</v>
      </c>
      <c r="J118" s="527">
        <f t="shared" si="9"/>
        <v>100</v>
      </c>
    </row>
    <row r="119" spans="1:10" ht="28.5" customHeight="1" x14ac:dyDescent="0.2">
      <c r="A119" s="542">
        <v>1.4</v>
      </c>
      <c r="B119" s="656" t="s">
        <v>2126</v>
      </c>
      <c r="C119" s="648" t="s">
        <v>40</v>
      </c>
      <c r="D119" s="607" t="s">
        <v>588</v>
      </c>
      <c r="E119" s="845">
        <v>10</v>
      </c>
      <c r="F119" s="853">
        <v>9</v>
      </c>
      <c r="G119" s="527">
        <f t="shared" si="10"/>
        <v>90</v>
      </c>
      <c r="H119" s="845">
        <v>1343523</v>
      </c>
      <c r="I119" s="847">
        <v>1715527.43</v>
      </c>
      <c r="J119" s="527">
        <f t="shared" si="9"/>
        <v>127.68872806792291</v>
      </c>
    </row>
    <row r="120" spans="1:10" ht="27.75" customHeight="1" x14ac:dyDescent="0.2">
      <c r="A120" s="542">
        <v>1.5</v>
      </c>
      <c r="B120" s="453" t="s">
        <v>2127</v>
      </c>
      <c r="C120" s="648" t="s">
        <v>40</v>
      </c>
      <c r="D120" s="607" t="s">
        <v>1513</v>
      </c>
      <c r="E120" s="845">
        <v>0.8</v>
      </c>
      <c r="F120" s="761">
        <v>0.7</v>
      </c>
      <c r="G120" s="527">
        <f t="shared" si="10"/>
        <v>87.499999999999986</v>
      </c>
      <c r="H120" s="845">
        <v>26000</v>
      </c>
      <c r="I120" s="847">
        <v>21024</v>
      </c>
      <c r="J120" s="527">
        <f t="shared" si="9"/>
        <v>80.861538461538458</v>
      </c>
    </row>
    <row r="121" spans="1:10" ht="24" customHeight="1" x14ac:dyDescent="0.2">
      <c r="A121" s="542">
        <v>1.6</v>
      </c>
      <c r="B121" s="453" t="s">
        <v>2128</v>
      </c>
      <c r="C121" s="648" t="s">
        <v>40</v>
      </c>
      <c r="D121" s="607" t="s">
        <v>1513</v>
      </c>
      <c r="E121" s="845">
        <v>6</v>
      </c>
      <c r="F121" s="761">
        <v>3</v>
      </c>
      <c r="G121" s="527">
        <f t="shared" si="10"/>
        <v>50</v>
      </c>
      <c r="H121" s="845">
        <v>237997</v>
      </c>
      <c r="I121" s="847">
        <f>137270+63352</f>
        <v>200622</v>
      </c>
      <c r="J121" s="527">
        <f t="shared" si="9"/>
        <v>84.296020538074018</v>
      </c>
    </row>
    <row r="122" spans="1:10" ht="25.5" customHeight="1" x14ac:dyDescent="0.2">
      <c r="A122" s="43">
        <v>2</v>
      </c>
      <c r="B122" s="654" t="s">
        <v>2129</v>
      </c>
      <c r="C122" s="657"/>
      <c r="D122" s="658"/>
      <c r="E122" s="855"/>
      <c r="F122" s="855"/>
      <c r="G122" s="855"/>
      <c r="H122" s="24">
        <f>SUM(H123:H132)</f>
        <v>2524742</v>
      </c>
      <c r="I122" s="318">
        <f>SUM(I123:I132)</f>
        <v>2524742.2200000002</v>
      </c>
      <c r="J122" s="655">
        <f t="shared" si="9"/>
        <v>100.00000871376164</v>
      </c>
    </row>
    <row r="123" spans="1:10" ht="30.75" customHeight="1" x14ac:dyDescent="0.2">
      <c r="A123" s="542">
        <v>2.1</v>
      </c>
      <c r="B123" s="659" t="s">
        <v>2130</v>
      </c>
      <c r="C123" s="648" t="s">
        <v>40</v>
      </c>
      <c r="D123" s="164" t="s">
        <v>90</v>
      </c>
      <c r="E123" s="660">
        <v>1</v>
      </c>
      <c r="F123" s="636">
        <v>1</v>
      </c>
      <c r="G123" s="527">
        <f t="shared" si="10"/>
        <v>100</v>
      </c>
      <c r="H123" s="273">
        <v>11115</v>
      </c>
      <c r="I123" s="273">
        <v>11114.82</v>
      </c>
      <c r="J123" s="527">
        <f t="shared" si="9"/>
        <v>99.998380566801615</v>
      </c>
    </row>
    <row r="124" spans="1:10" ht="30.75" customHeight="1" x14ac:dyDescent="0.2">
      <c r="A124" s="542">
        <v>2.2000000000000002</v>
      </c>
      <c r="B124" s="659" t="s">
        <v>2131</v>
      </c>
      <c r="C124" s="648" t="s">
        <v>40</v>
      </c>
      <c r="D124" s="164" t="s">
        <v>2132</v>
      </c>
      <c r="E124" s="660">
        <v>7986</v>
      </c>
      <c r="F124" s="660">
        <v>7986</v>
      </c>
      <c r="G124" s="527">
        <f t="shared" si="10"/>
        <v>100</v>
      </c>
      <c r="H124" s="37">
        <v>421000</v>
      </c>
      <c r="I124" s="273">
        <v>421000</v>
      </c>
      <c r="J124" s="527">
        <f t="shared" si="9"/>
        <v>100</v>
      </c>
    </row>
    <row r="125" spans="1:10" ht="30.75" customHeight="1" x14ac:dyDescent="0.2">
      <c r="A125" s="542">
        <v>2.2999999999999998</v>
      </c>
      <c r="B125" s="659" t="s">
        <v>2133</v>
      </c>
      <c r="C125" s="648" t="s">
        <v>40</v>
      </c>
      <c r="D125" s="164" t="s">
        <v>248</v>
      </c>
      <c r="E125" s="660">
        <v>1</v>
      </c>
      <c r="F125" s="636">
        <v>1</v>
      </c>
      <c r="G125" s="527">
        <f t="shared" si="10"/>
        <v>100</v>
      </c>
      <c r="H125" s="37">
        <v>414043</v>
      </c>
      <c r="I125" s="273">
        <v>414043</v>
      </c>
      <c r="J125" s="527">
        <f t="shared" si="9"/>
        <v>100</v>
      </c>
    </row>
    <row r="126" spans="1:10" ht="30.75" customHeight="1" x14ac:dyDescent="0.2">
      <c r="A126" s="542">
        <v>2.4</v>
      </c>
      <c r="B126" s="659" t="s">
        <v>2134</v>
      </c>
      <c r="C126" s="648" t="s">
        <v>40</v>
      </c>
      <c r="D126" s="164" t="s">
        <v>470</v>
      </c>
      <c r="E126" s="660">
        <v>3</v>
      </c>
      <c r="F126" s="636">
        <v>3</v>
      </c>
      <c r="G126" s="527">
        <f t="shared" si="10"/>
        <v>100</v>
      </c>
      <c r="H126" s="37">
        <v>359664</v>
      </c>
      <c r="I126" s="273">
        <v>359664</v>
      </c>
      <c r="J126" s="527">
        <f t="shared" si="9"/>
        <v>100</v>
      </c>
    </row>
    <row r="127" spans="1:10" ht="30.75" customHeight="1" x14ac:dyDescent="0.2">
      <c r="A127" s="542">
        <v>2.5</v>
      </c>
      <c r="B127" s="659" t="s">
        <v>2135</v>
      </c>
      <c r="C127" s="648" t="s">
        <v>40</v>
      </c>
      <c r="D127" s="164" t="s">
        <v>961</v>
      </c>
      <c r="E127" s="660">
        <v>1</v>
      </c>
      <c r="F127" s="636">
        <v>1</v>
      </c>
      <c r="G127" s="527">
        <f t="shared" si="10"/>
        <v>100</v>
      </c>
      <c r="H127" s="37">
        <v>437000</v>
      </c>
      <c r="I127" s="273">
        <v>437000.4</v>
      </c>
      <c r="J127" s="349">
        <f t="shared" si="9"/>
        <v>100.00009153318079</v>
      </c>
    </row>
    <row r="128" spans="1:10" ht="25.5" customHeight="1" x14ac:dyDescent="0.2">
      <c r="A128" s="542">
        <v>2.6</v>
      </c>
      <c r="B128" s="659" t="s">
        <v>2136</v>
      </c>
      <c r="C128" s="648" t="s">
        <v>40</v>
      </c>
      <c r="D128" s="164" t="s">
        <v>469</v>
      </c>
      <c r="E128" s="660">
        <v>1</v>
      </c>
      <c r="F128" s="636">
        <v>1</v>
      </c>
      <c r="G128" s="304">
        <f t="shared" si="10"/>
        <v>100</v>
      </c>
      <c r="H128" s="37">
        <v>397441</v>
      </c>
      <c r="I128" s="273">
        <v>397441</v>
      </c>
      <c r="J128" s="349">
        <f t="shared" si="9"/>
        <v>100</v>
      </c>
    </row>
    <row r="129" spans="1:10" ht="24" customHeight="1" x14ac:dyDescent="0.2">
      <c r="A129" s="542">
        <v>2.7</v>
      </c>
      <c r="B129" s="659" t="s">
        <v>2137</v>
      </c>
      <c r="C129" s="648" t="s">
        <v>40</v>
      </c>
      <c r="D129" s="164" t="s">
        <v>961</v>
      </c>
      <c r="E129" s="660">
        <v>1</v>
      </c>
      <c r="F129" s="636">
        <v>1</v>
      </c>
      <c r="G129" s="304">
        <f t="shared" si="10"/>
        <v>100</v>
      </c>
      <c r="H129" s="37">
        <v>334889</v>
      </c>
      <c r="I129" s="273">
        <v>334889</v>
      </c>
      <c r="J129" s="349">
        <f t="shared" si="9"/>
        <v>100</v>
      </c>
    </row>
    <row r="130" spans="1:10" ht="30.75" customHeight="1" x14ac:dyDescent="0.2">
      <c r="A130" s="542">
        <v>2.8</v>
      </c>
      <c r="B130" s="659" t="s">
        <v>2138</v>
      </c>
      <c r="C130" s="648" t="s">
        <v>40</v>
      </c>
      <c r="D130" s="164" t="s">
        <v>176</v>
      </c>
      <c r="E130" s="660">
        <v>1</v>
      </c>
      <c r="F130" s="636">
        <v>1</v>
      </c>
      <c r="G130" s="304">
        <f t="shared" si="10"/>
        <v>100</v>
      </c>
      <c r="H130" s="37">
        <v>74990</v>
      </c>
      <c r="I130" s="273">
        <v>74990</v>
      </c>
      <c r="J130" s="349">
        <f t="shared" si="9"/>
        <v>100</v>
      </c>
    </row>
    <row r="131" spans="1:10" ht="27" customHeight="1" x14ac:dyDescent="0.2">
      <c r="A131" s="661">
        <v>2.9</v>
      </c>
      <c r="B131" s="659" t="s">
        <v>2139</v>
      </c>
      <c r="C131" s="648" t="s">
        <v>40</v>
      </c>
      <c r="D131" s="164" t="s">
        <v>2140</v>
      </c>
      <c r="E131" s="660">
        <v>710</v>
      </c>
      <c r="F131" s="636">
        <v>710</v>
      </c>
      <c r="G131" s="304">
        <f t="shared" si="10"/>
        <v>100</v>
      </c>
      <c r="H131" s="37">
        <v>4600</v>
      </c>
      <c r="I131" s="273">
        <v>4600</v>
      </c>
      <c r="J131" s="349">
        <f t="shared" si="9"/>
        <v>100</v>
      </c>
    </row>
    <row r="132" spans="1:10" ht="24.75" customHeight="1" x14ac:dyDescent="0.2">
      <c r="A132" s="661">
        <v>2.1</v>
      </c>
      <c r="B132" s="659" t="s">
        <v>2141</v>
      </c>
      <c r="C132" s="164" t="s">
        <v>40</v>
      </c>
      <c r="D132" s="164" t="s">
        <v>470</v>
      </c>
      <c r="E132" s="660">
        <v>1</v>
      </c>
      <c r="F132" s="636">
        <v>1</v>
      </c>
      <c r="G132" s="304">
        <f t="shared" si="10"/>
        <v>100</v>
      </c>
      <c r="H132" s="37">
        <v>70000</v>
      </c>
      <c r="I132" s="273">
        <v>70000</v>
      </c>
      <c r="J132" s="349">
        <f t="shared" si="9"/>
        <v>100</v>
      </c>
    </row>
    <row r="133" spans="1:10" ht="45" customHeight="1" x14ac:dyDescent="0.2">
      <c r="A133" s="43">
        <v>3</v>
      </c>
      <c r="B133" s="371" t="s">
        <v>2142</v>
      </c>
      <c r="C133" s="164" t="s">
        <v>40</v>
      </c>
      <c r="D133" s="183" t="s">
        <v>459</v>
      </c>
      <c r="E133" s="63">
        <v>12</v>
      </c>
      <c r="F133" s="63">
        <v>12</v>
      </c>
      <c r="G133" s="304">
        <f t="shared" si="10"/>
        <v>100</v>
      </c>
      <c r="H133" s="896">
        <v>1597556</v>
      </c>
      <c r="I133" s="896">
        <v>1578075.0100000002</v>
      </c>
      <c r="J133" s="662">
        <f t="shared" si="9"/>
        <v>98.780575454006012</v>
      </c>
    </row>
    <row r="134" spans="1:10" ht="21.75" customHeight="1" x14ac:dyDescent="0.2">
      <c r="A134" s="609" t="s">
        <v>2256</v>
      </c>
      <c r="C134" s="664"/>
      <c r="D134" s="665"/>
      <c r="E134" s="666"/>
      <c r="F134" s="666"/>
      <c r="G134" s="667"/>
      <c r="H134" s="897">
        <v>3913358</v>
      </c>
      <c r="I134" s="897">
        <v>3913358</v>
      </c>
      <c r="J134" s="333">
        <f t="shared" si="9"/>
        <v>100</v>
      </c>
    </row>
    <row r="135" spans="1:10" ht="21" customHeight="1" x14ac:dyDescent="0.2">
      <c r="A135" s="18">
        <v>1</v>
      </c>
      <c r="B135" s="308" t="s">
        <v>2031</v>
      </c>
      <c r="C135" s="163"/>
      <c r="D135" s="607"/>
      <c r="E135" s="783"/>
      <c r="F135" s="783"/>
      <c r="G135" s="349"/>
      <c r="H135" s="45">
        <v>434815</v>
      </c>
      <c r="I135" s="278">
        <v>434815</v>
      </c>
      <c r="J135" s="313">
        <f>+I135/H135*100</f>
        <v>100</v>
      </c>
    </row>
    <row r="136" spans="1:10" ht="26.25" customHeight="1" x14ac:dyDescent="0.2">
      <c r="A136" s="639">
        <v>1.1000000000000001</v>
      </c>
      <c r="B136" s="570" t="s">
        <v>2153</v>
      </c>
      <c r="C136" s="607" t="s">
        <v>40</v>
      </c>
      <c r="D136" s="607" t="s">
        <v>248</v>
      </c>
      <c r="E136" s="37">
        <v>13</v>
      </c>
      <c r="F136" s="37">
        <v>13</v>
      </c>
      <c r="G136" s="304">
        <f>+F136/E136*100</f>
        <v>100</v>
      </c>
      <c r="H136" s="38"/>
      <c r="I136" s="39"/>
      <c r="J136" s="39"/>
    </row>
    <row r="137" spans="1:10" ht="26.25" customHeight="1" x14ac:dyDescent="0.2">
      <c r="A137" s="639">
        <v>1.2</v>
      </c>
      <c r="B137" s="570" t="s">
        <v>2154</v>
      </c>
      <c r="C137" s="607" t="s">
        <v>40</v>
      </c>
      <c r="D137" s="607" t="s">
        <v>2213</v>
      </c>
      <c r="E137" s="37">
        <v>52</v>
      </c>
      <c r="F137" s="37">
        <v>52</v>
      </c>
      <c r="G137" s="304">
        <f>+F137/E137*100</f>
        <v>100</v>
      </c>
      <c r="H137" s="38"/>
      <c r="I137" s="39"/>
      <c r="J137" s="39"/>
    </row>
    <row r="138" spans="1:10" ht="24" customHeight="1" x14ac:dyDescent="0.2">
      <c r="A138" s="54">
        <v>2</v>
      </c>
      <c r="B138" s="364" t="s">
        <v>2155</v>
      </c>
      <c r="C138" s="164"/>
      <c r="D138" s="607"/>
      <c r="E138" s="37"/>
      <c r="F138" s="37"/>
      <c r="G138" s="304"/>
      <c r="H138" s="45">
        <v>434818</v>
      </c>
      <c r="I138" s="278">
        <v>434818</v>
      </c>
      <c r="J138" s="313">
        <f>+I138/H138*100</f>
        <v>100</v>
      </c>
    </row>
    <row r="139" spans="1:10" ht="27" customHeight="1" x14ac:dyDescent="0.2">
      <c r="A139" s="542">
        <v>2.1</v>
      </c>
      <c r="B139" s="570" t="s">
        <v>2156</v>
      </c>
      <c r="C139" s="607" t="s">
        <v>40</v>
      </c>
      <c r="D139" s="607" t="s">
        <v>562</v>
      </c>
      <c r="E139" s="37">
        <v>1913</v>
      </c>
      <c r="F139" s="37">
        <v>758</v>
      </c>
      <c r="G139" s="304">
        <f t="shared" ref="G139:G145" si="11">+F139/E139*100</f>
        <v>39.623627809722947</v>
      </c>
      <c r="H139" s="38"/>
      <c r="I139" s="39"/>
      <c r="J139" s="39"/>
    </row>
    <row r="140" spans="1:10" ht="20.25" customHeight="1" x14ac:dyDescent="0.2">
      <c r="A140" s="1025">
        <v>2.2000000000000002</v>
      </c>
      <c r="B140" s="1039" t="s">
        <v>2157</v>
      </c>
      <c r="C140" s="1031" t="s">
        <v>40</v>
      </c>
      <c r="D140" s="164" t="s">
        <v>2214</v>
      </c>
      <c r="E140" s="37">
        <v>2240</v>
      </c>
      <c r="F140" s="37">
        <v>1292.5</v>
      </c>
      <c r="G140" s="304">
        <f t="shared" si="11"/>
        <v>57.700892857142861</v>
      </c>
      <c r="H140" s="38"/>
      <c r="I140" s="39"/>
      <c r="J140" s="39"/>
    </row>
    <row r="141" spans="1:10" ht="30" customHeight="1" x14ac:dyDescent="0.2">
      <c r="A141" s="1034"/>
      <c r="B141" s="1042"/>
      <c r="C141" s="1041"/>
      <c r="D141" s="164" t="s">
        <v>2215</v>
      </c>
      <c r="E141" s="37">
        <v>73950</v>
      </c>
      <c r="F141" s="37">
        <v>38522.550000000003</v>
      </c>
      <c r="G141" s="304">
        <f t="shared" si="11"/>
        <v>52.092697768762683</v>
      </c>
      <c r="H141" s="38"/>
      <c r="I141" s="39"/>
      <c r="J141" s="39"/>
    </row>
    <row r="142" spans="1:10" ht="26.25" customHeight="1" x14ac:dyDescent="0.2">
      <c r="A142" s="1034"/>
      <c r="B142" s="1042"/>
      <c r="C142" s="1041"/>
      <c r="D142" s="164" t="s">
        <v>2216</v>
      </c>
      <c r="E142" s="37">
        <v>533</v>
      </c>
      <c r="F142" s="37">
        <v>225</v>
      </c>
      <c r="G142" s="304">
        <f t="shared" si="11"/>
        <v>42.213883677298313</v>
      </c>
      <c r="H142" s="38"/>
      <c r="I142" s="39"/>
      <c r="J142" s="39"/>
    </row>
    <row r="143" spans="1:10" ht="20.25" customHeight="1" x14ac:dyDescent="0.2">
      <c r="A143" s="1026"/>
      <c r="B143" s="1040"/>
      <c r="C143" s="1032"/>
      <c r="D143" s="607" t="s">
        <v>2217</v>
      </c>
      <c r="E143" s="37">
        <v>416</v>
      </c>
      <c r="F143" s="37">
        <v>272.75</v>
      </c>
      <c r="G143" s="304">
        <f t="shared" si="11"/>
        <v>65.56490384615384</v>
      </c>
      <c r="H143" s="38"/>
      <c r="I143" s="39"/>
      <c r="J143" s="39"/>
    </row>
    <row r="144" spans="1:10" ht="20.25" customHeight="1" x14ac:dyDescent="0.2">
      <c r="A144" s="542">
        <v>2.2999999999999998</v>
      </c>
      <c r="B144" s="570" t="s">
        <v>2158</v>
      </c>
      <c r="C144" s="607" t="s">
        <v>40</v>
      </c>
      <c r="D144" s="607" t="s">
        <v>563</v>
      </c>
      <c r="E144" s="37">
        <v>21</v>
      </c>
      <c r="F144" s="37">
        <v>18</v>
      </c>
      <c r="G144" s="304">
        <f t="shared" si="11"/>
        <v>85.714285714285708</v>
      </c>
      <c r="H144" s="38"/>
      <c r="I144" s="39"/>
      <c r="J144" s="39"/>
    </row>
    <row r="145" spans="1:10" ht="25.5" customHeight="1" x14ac:dyDescent="0.2">
      <c r="A145" s="542">
        <v>2.4</v>
      </c>
      <c r="B145" s="570" t="s">
        <v>2159</v>
      </c>
      <c r="C145" s="607" t="s">
        <v>40</v>
      </c>
      <c r="D145" s="607" t="s">
        <v>2218</v>
      </c>
      <c r="E145" s="37">
        <v>156</v>
      </c>
      <c r="F145" s="37">
        <v>156</v>
      </c>
      <c r="G145" s="304">
        <f t="shared" si="11"/>
        <v>100</v>
      </c>
      <c r="H145" s="38"/>
      <c r="I145" s="39"/>
      <c r="J145" s="39"/>
    </row>
    <row r="146" spans="1:10" ht="25.5" customHeight="1" x14ac:dyDescent="0.2">
      <c r="A146" s="54">
        <v>3</v>
      </c>
      <c r="B146" s="308" t="s">
        <v>2160</v>
      </c>
      <c r="C146" s="668"/>
      <c r="D146" s="607"/>
      <c r="E146" s="37"/>
      <c r="F146" s="37"/>
      <c r="G146" s="304"/>
      <c r="H146" s="45">
        <v>434818</v>
      </c>
      <c r="I146" s="278">
        <v>434818</v>
      </c>
      <c r="J146" s="313">
        <f>+I146/H146*100</f>
        <v>100</v>
      </c>
    </row>
    <row r="147" spans="1:10" ht="20.25" customHeight="1" x14ac:dyDescent="0.2">
      <c r="A147" s="1043">
        <v>3.1</v>
      </c>
      <c r="B147" s="1039" t="s">
        <v>2161</v>
      </c>
      <c r="C147" s="1003" t="s">
        <v>40</v>
      </c>
      <c r="D147" s="607" t="s">
        <v>2219</v>
      </c>
      <c r="E147" s="37">
        <v>156</v>
      </c>
      <c r="F147" s="37">
        <v>156</v>
      </c>
      <c r="G147" s="304">
        <f>+F147/E147*100</f>
        <v>100</v>
      </c>
      <c r="H147" s="38"/>
      <c r="I147" s="39"/>
      <c r="J147" s="39"/>
    </row>
    <row r="148" spans="1:10" ht="23.25" customHeight="1" x14ac:dyDescent="0.2">
      <c r="A148" s="1043"/>
      <c r="B148" s="1040"/>
      <c r="C148" s="1005"/>
      <c r="D148" s="607" t="s">
        <v>2220</v>
      </c>
      <c r="E148" s="37">
        <v>4528</v>
      </c>
      <c r="F148" s="37">
        <v>4098</v>
      </c>
      <c r="G148" s="304">
        <f>+F148/E148*100</f>
        <v>90.503533568904587</v>
      </c>
      <c r="H148" s="38"/>
      <c r="I148" s="39"/>
      <c r="J148" s="39"/>
    </row>
    <row r="149" spans="1:10" ht="19.5" customHeight="1" x14ac:dyDescent="0.2">
      <c r="A149" s="1043">
        <v>3.2</v>
      </c>
      <c r="B149" s="1039" t="s">
        <v>2162</v>
      </c>
      <c r="C149" s="1003" t="s">
        <v>40</v>
      </c>
      <c r="D149" s="607"/>
      <c r="E149" s="37"/>
      <c r="F149" s="37"/>
      <c r="G149" s="304"/>
      <c r="H149" s="38"/>
      <c r="I149" s="39"/>
      <c r="J149" s="39"/>
    </row>
    <row r="150" spans="1:10" ht="25.5" customHeight="1" x14ac:dyDescent="0.2">
      <c r="A150" s="1043"/>
      <c r="B150" s="1042"/>
      <c r="C150" s="1004"/>
      <c r="D150" s="607" t="s">
        <v>2221</v>
      </c>
      <c r="E150" s="37">
        <v>2659</v>
      </c>
      <c r="F150" s="37">
        <v>4015</v>
      </c>
      <c r="G150" s="304">
        <f>+F150/E150*100</f>
        <v>150.99661526889807</v>
      </c>
      <c r="H150" s="38"/>
      <c r="I150" s="39"/>
      <c r="J150" s="39"/>
    </row>
    <row r="151" spans="1:10" ht="22.5" customHeight="1" x14ac:dyDescent="0.2">
      <c r="A151" s="1043"/>
      <c r="B151" s="1040"/>
      <c r="C151" s="1005"/>
      <c r="D151" s="607" t="s">
        <v>2220</v>
      </c>
      <c r="E151" s="37">
        <v>5551</v>
      </c>
      <c r="F151" s="37">
        <v>4911</v>
      </c>
      <c r="G151" s="304">
        <f>+F151/E151*100</f>
        <v>88.470545847595034</v>
      </c>
      <c r="H151" s="38"/>
      <c r="I151" s="39"/>
      <c r="J151" s="39"/>
    </row>
    <row r="152" spans="1:10" ht="18.75" customHeight="1" x14ac:dyDescent="0.2">
      <c r="A152" s="1043">
        <v>3.3</v>
      </c>
      <c r="B152" s="1039" t="s">
        <v>2163</v>
      </c>
      <c r="C152" s="1003" t="s">
        <v>40</v>
      </c>
      <c r="D152" s="607"/>
      <c r="E152" s="37"/>
      <c r="F152" s="37"/>
      <c r="G152" s="304"/>
      <c r="H152" s="38"/>
      <c r="I152" s="39"/>
      <c r="J152" s="39"/>
    </row>
    <row r="153" spans="1:10" ht="23.25" customHeight="1" x14ac:dyDescent="0.2">
      <c r="A153" s="1043"/>
      <c r="B153" s="1042"/>
      <c r="C153" s="1004"/>
      <c r="D153" s="607" t="s">
        <v>2222</v>
      </c>
      <c r="E153" s="37">
        <v>276</v>
      </c>
      <c r="F153" s="37">
        <v>234</v>
      </c>
      <c r="G153" s="304">
        <f>+F153/E153*100</f>
        <v>84.782608695652172</v>
      </c>
      <c r="H153" s="38"/>
      <c r="I153" s="39"/>
      <c r="J153" s="39"/>
    </row>
    <row r="154" spans="1:10" ht="24.75" customHeight="1" x14ac:dyDescent="0.2">
      <c r="A154" s="1043"/>
      <c r="B154" s="1042"/>
      <c r="C154" s="1004"/>
      <c r="D154" s="607" t="s">
        <v>2216</v>
      </c>
      <c r="E154" s="37">
        <v>6100</v>
      </c>
      <c r="F154" s="37">
        <v>6098</v>
      </c>
      <c r="G154" s="304">
        <f>+F154/E154*100</f>
        <v>99.967213114754088</v>
      </c>
      <c r="H154" s="38"/>
      <c r="I154" s="39"/>
      <c r="J154" s="39"/>
    </row>
    <row r="155" spans="1:10" ht="18" customHeight="1" x14ac:dyDescent="0.2">
      <c r="A155" s="1043"/>
      <c r="B155" s="1040"/>
      <c r="C155" s="1005"/>
      <c r="D155" s="607" t="s">
        <v>42</v>
      </c>
      <c r="E155" s="37">
        <v>24</v>
      </c>
      <c r="F155" s="37">
        <v>17</v>
      </c>
      <c r="G155" s="304">
        <f>+F155/E155*100</f>
        <v>70.833333333333343</v>
      </c>
      <c r="H155" s="38"/>
      <c r="I155" s="39"/>
      <c r="J155" s="39"/>
    </row>
    <row r="156" spans="1:10" ht="30.75" customHeight="1" x14ac:dyDescent="0.2">
      <c r="A156" s="542">
        <v>3.4</v>
      </c>
      <c r="B156" s="570" t="s">
        <v>2164</v>
      </c>
      <c r="C156" s="164" t="s">
        <v>40</v>
      </c>
      <c r="D156" s="607" t="s">
        <v>2223</v>
      </c>
      <c r="E156" s="37">
        <v>72</v>
      </c>
      <c r="F156" s="37">
        <v>56</v>
      </c>
      <c r="G156" s="304">
        <f>+F156/E156*100</f>
        <v>77.777777777777786</v>
      </c>
      <c r="H156" s="38"/>
      <c r="I156" s="39"/>
      <c r="J156" s="39"/>
    </row>
    <row r="157" spans="1:10" ht="39.75" customHeight="1" x14ac:dyDescent="0.2">
      <c r="A157" s="542">
        <v>3.5</v>
      </c>
      <c r="B157" s="570" t="s">
        <v>2165</v>
      </c>
      <c r="C157" s="164" t="s">
        <v>40</v>
      </c>
      <c r="D157" s="607" t="s">
        <v>2224</v>
      </c>
      <c r="E157" s="37">
        <v>13</v>
      </c>
      <c r="F157" s="37">
        <v>11</v>
      </c>
      <c r="G157" s="304">
        <f>+F157/E157*100</f>
        <v>84.615384615384613</v>
      </c>
      <c r="H157" s="38"/>
      <c r="I157" s="39"/>
      <c r="J157" s="39"/>
    </row>
    <row r="158" spans="1:10" ht="26.25" customHeight="1" x14ac:dyDescent="0.2">
      <c r="A158" s="43">
        <v>4</v>
      </c>
      <c r="B158" s="308" t="s">
        <v>2166</v>
      </c>
      <c r="C158" s="668"/>
      <c r="D158" s="607"/>
      <c r="E158" s="37"/>
      <c r="F158" s="37"/>
      <c r="G158" s="304"/>
      <c r="H158" s="45">
        <v>434818</v>
      </c>
      <c r="I158" s="278">
        <v>434818</v>
      </c>
      <c r="J158" s="313">
        <f>+I158/H158*100</f>
        <v>100</v>
      </c>
    </row>
    <row r="159" spans="1:10" ht="28.5" customHeight="1" x14ac:dyDescent="0.2">
      <c r="A159" s="1025">
        <v>4.0999999999999996</v>
      </c>
      <c r="B159" s="997" t="s">
        <v>2167</v>
      </c>
      <c r="C159" s="1003" t="s">
        <v>40</v>
      </c>
      <c r="D159" s="607" t="s">
        <v>2225</v>
      </c>
      <c r="E159" s="37">
        <v>12</v>
      </c>
      <c r="F159" s="37">
        <v>13</v>
      </c>
      <c r="G159" s="304">
        <f t="shared" ref="G159:G171" si="12">+F159/E159*100</f>
        <v>108.33333333333333</v>
      </c>
      <c r="H159" s="38"/>
      <c r="I159" s="39"/>
      <c r="J159" s="39"/>
    </row>
    <row r="160" spans="1:10" ht="28.5" customHeight="1" x14ac:dyDescent="0.2">
      <c r="A160" s="1034"/>
      <c r="B160" s="998"/>
      <c r="C160" s="1004"/>
      <c r="D160" s="607" t="s">
        <v>2226</v>
      </c>
      <c r="E160" s="37">
        <v>42</v>
      </c>
      <c r="F160" s="37">
        <v>32</v>
      </c>
      <c r="G160" s="304">
        <f t="shared" si="12"/>
        <v>76.19047619047619</v>
      </c>
      <c r="H160" s="38"/>
      <c r="I160" s="39"/>
      <c r="J160" s="39"/>
    </row>
    <row r="161" spans="1:10" ht="29.25" customHeight="1" x14ac:dyDescent="0.2">
      <c r="A161" s="1034"/>
      <c r="B161" s="998"/>
      <c r="C161" s="1004"/>
      <c r="D161" s="607" t="s">
        <v>2227</v>
      </c>
      <c r="E161" s="37">
        <v>43</v>
      </c>
      <c r="F161" s="37">
        <v>35</v>
      </c>
      <c r="G161" s="304">
        <f t="shared" si="12"/>
        <v>81.395348837209298</v>
      </c>
      <c r="H161" s="38"/>
      <c r="I161" s="39"/>
      <c r="J161" s="39"/>
    </row>
    <row r="162" spans="1:10" ht="65.25" customHeight="1" x14ac:dyDescent="0.2">
      <c r="A162" s="1026"/>
      <c r="B162" s="999"/>
      <c r="C162" s="1005"/>
      <c r="D162" s="607" t="s">
        <v>2228</v>
      </c>
      <c r="E162" s="37">
        <v>30</v>
      </c>
      <c r="F162" s="37">
        <v>22</v>
      </c>
      <c r="G162" s="304">
        <f t="shared" si="12"/>
        <v>73.333333333333329</v>
      </c>
      <c r="H162" s="38"/>
      <c r="I162" s="39"/>
      <c r="J162" s="39"/>
    </row>
    <row r="163" spans="1:10" ht="28.5" customHeight="1" x14ac:dyDescent="0.2">
      <c r="A163" s="542">
        <v>4.2</v>
      </c>
      <c r="B163" s="19" t="s">
        <v>2168</v>
      </c>
      <c r="C163" s="164" t="s">
        <v>40</v>
      </c>
      <c r="D163" s="607" t="s">
        <v>2229</v>
      </c>
      <c r="E163" s="37">
        <v>42</v>
      </c>
      <c r="F163" s="37">
        <v>27</v>
      </c>
      <c r="G163" s="304">
        <f t="shared" si="12"/>
        <v>64.285714285714292</v>
      </c>
      <c r="H163" s="38"/>
      <c r="I163" s="39"/>
      <c r="J163" s="39"/>
    </row>
    <row r="164" spans="1:10" ht="16.5" customHeight="1" x14ac:dyDescent="0.2">
      <c r="A164" s="1025">
        <v>4.3</v>
      </c>
      <c r="B164" s="963" t="s">
        <v>2169</v>
      </c>
      <c r="C164" s="963" t="s">
        <v>40</v>
      </c>
      <c r="D164" s="607" t="s">
        <v>43</v>
      </c>
      <c r="E164" s="37">
        <v>190</v>
      </c>
      <c r="F164" s="37">
        <v>176</v>
      </c>
      <c r="G164" s="304">
        <f t="shared" si="12"/>
        <v>92.631578947368425</v>
      </c>
      <c r="H164" s="38"/>
      <c r="I164" s="39"/>
      <c r="J164" s="39"/>
    </row>
    <row r="165" spans="1:10" ht="24" customHeight="1" x14ac:dyDescent="0.2">
      <c r="A165" s="1034"/>
      <c r="B165" s="964"/>
      <c r="C165" s="964"/>
      <c r="D165" s="607" t="s">
        <v>2230</v>
      </c>
      <c r="E165" s="37">
        <v>50</v>
      </c>
      <c r="F165" s="37">
        <v>49</v>
      </c>
      <c r="G165" s="304">
        <f t="shared" si="12"/>
        <v>98</v>
      </c>
      <c r="H165" s="38"/>
      <c r="I165" s="39"/>
      <c r="J165" s="39"/>
    </row>
    <row r="166" spans="1:10" ht="28.5" customHeight="1" x14ac:dyDescent="0.2">
      <c r="A166" s="1034"/>
      <c r="B166" s="964"/>
      <c r="C166" s="964"/>
      <c r="D166" s="607" t="s">
        <v>2231</v>
      </c>
      <c r="E166" s="37">
        <v>64</v>
      </c>
      <c r="F166" s="37">
        <v>2</v>
      </c>
      <c r="G166" s="304">
        <f t="shared" si="12"/>
        <v>3.125</v>
      </c>
      <c r="H166" s="38"/>
      <c r="I166" s="39"/>
      <c r="J166" s="39"/>
    </row>
    <row r="167" spans="1:10" ht="24" customHeight="1" x14ac:dyDescent="0.2">
      <c r="A167" s="1026"/>
      <c r="B167" s="991"/>
      <c r="C167" s="991"/>
      <c r="D167" s="607" t="s">
        <v>2232</v>
      </c>
      <c r="E167" s="37">
        <v>5</v>
      </c>
      <c r="F167" s="37">
        <v>3</v>
      </c>
      <c r="G167" s="304">
        <f t="shared" si="12"/>
        <v>60</v>
      </c>
      <c r="H167" s="38"/>
      <c r="I167" s="39"/>
      <c r="J167" s="39"/>
    </row>
    <row r="168" spans="1:10" ht="17.25" customHeight="1" x14ac:dyDescent="0.2">
      <c r="A168" s="1025">
        <v>4.4000000000000004</v>
      </c>
      <c r="B168" s="963" t="s">
        <v>2170</v>
      </c>
      <c r="C168" s="1003" t="s">
        <v>40</v>
      </c>
      <c r="D168" s="183" t="s">
        <v>536</v>
      </c>
      <c r="E168" s="37">
        <v>32</v>
      </c>
      <c r="F168" s="37">
        <v>35</v>
      </c>
      <c r="G168" s="304">
        <f t="shared" si="12"/>
        <v>109.375</v>
      </c>
      <c r="H168" s="38"/>
      <c r="I168" s="39"/>
      <c r="J168" s="39"/>
    </row>
    <row r="169" spans="1:10" ht="29.25" customHeight="1" x14ac:dyDescent="0.2">
      <c r="A169" s="1026"/>
      <c r="B169" s="991"/>
      <c r="C169" s="1005"/>
      <c r="D169" s="607" t="s">
        <v>2233</v>
      </c>
      <c r="E169" s="37">
        <v>10</v>
      </c>
      <c r="F169" s="37">
        <v>15</v>
      </c>
      <c r="G169" s="304">
        <f t="shared" si="12"/>
        <v>150</v>
      </c>
      <c r="H169" s="38"/>
      <c r="I169" s="39"/>
      <c r="J169" s="39"/>
    </row>
    <row r="170" spans="1:10" ht="29.25" customHeight="1" x14ac:dyDescent="0.2">
      <c r="A170" s="542">
        <v>4.5</v>
      </c>
      <c r="B170" s="19" t="s">
        <v>2171</v>
      </c>
      <c r="C170" s="164" t="s">
        <v>40</v>
      </c>
      <c r="D170" s="607" t="s">
        <v>2234</v>
      </c>
      <c r="E170" s="37">
        <v>50</v>
      </c>
      <c r="F170" s="37">
        <v>80</v>
      </c>
      <c r="G170" s="304">
        <f t="shared" si="12"/>
        <v>160</v>
      </c>
      <c r="H170" s="38"/>
      <c r="I170" s="39"/>
      <c r="J170" s="39"/>
    </row>
    <row r="171" spans="1:10" ht="27.75" customHeight="1" x14ac:dyDescent="0.2">
      <c r="A171" s="351">
        <v>4.5999999999999996</v>
      </c>
      <c r="B171" s="570" t="s">
        <v>2172</v>
      </c>
      <c r="C171" s="607" t="s">
        <v>40</v>
      </c>
      <c r="D171" s="607" t="s">
        <v>2235</v>
      </c>
      <c r="E171" s="37">
        <v>1640</v>
      </c>
      <c r="F171" s="37">
        <v>1193</v>
      </c>
      <c r="G171" s="304">
        <f t="shared" si="12"/>
        <v>72.743902439024382</v>
      </c>
      <c r="H171" s="38"/>
      <c r="I171" s="39"/>
      <c r="J171" s="39"/>
    </row>
    <row r="172" spans="1:10" ht="21.75" customHeight="1" x14ac:dyDescent="0.2">
      <c r="A172" s="54">
        <v>5</v>
      </c>
      <c r="B172" s="59" t="s">
        <v>2173</v>
      </c>
      <c r="C172" s="372"/>
      <c r="D172" s="607"/>
      <c r="E172" s="37"/>
      <c r="F172" s="37"/>
      <c r="G172" s="304"/>
      <c r="H172" s="45">
        <v>434818</v>
      </c>
      <c r="I172" s="278">
        <v>434818</v>
      </c>
      <c r="J172" s="313">
        <f>+I172/H172*100</f>
        <v>100</v>
      </c>
    </row>
    <row r="173" spans="1:10" ht="21.75" customHeight="1" x14ac:dyDescent="0.2">
      <c r="A173" s="465"/>
      <c r="B173" s="308" t="s">
        <v>2174</v>
      </c>
      <c r="C173" s="163"/>
      <c r="D173" s="163"/>
      <c r="E173" s="37"/>
      <c r="F173" s="37"/>
      <c r="G173" s="304"/>
      <c r="H173" s="38"/>
      <c r="I173" s="39"/>
      <c r="J173" s="39"/>
    </row>
    <row r="174" spans="1:10" ht="30.75" customHeight="1" x14ac:dyDescent="0.2">
      <c r="A174" s="54">
        <v>5.0999999999999996</v>
      </c>
      <c r="B174" s="371" t="s">
        <v>2175</v>
      </c>
      <c r="C174" s="294" t="s">
        <v>40</v>
      </c>
      <c r="D174" s="451"/>
      <c r="E174" s="37"/>
      <c r="F174" s="37"/>
      <c r="G174" s="304"/>
      <c r="H174" s="38"/>
      <c r="I174" s="39"/>
      <c r="J174" s="39"/>
    </row>
    <row r="175" spans="1:10" ht="24.75" customHeight="1" x14ac:dyDescent="0.2">
      <c r="A175" s="1025" t="s">
        <v>2176</v>
      </c>
      <c r="B175" s="1035" t="s">
        <v>2259</v>
      </c>
      <c r="C175" s="1056" t="s">
        <v>40</v>
      </c>
      <c r="D175" s="607" t="s">
        <v>2236</v>
      </c>
      <c r="E175" s="37">
        <v>239</v>
      </c>
      <c r="F175" s="37">
        <v>198</v>
      </c>
      <c r="G175" s="304">
        <f t="shared" ref="G175:G182" si="13">+F175/E175*100</f>
        <v>82.845188284518827</v>
      </c>
      <c r="H175" s="38"/>
      <c r="I175" s="39"/>
      <c r="J175" s="39"/>
    </row>
    <row r="176" spans="1:10" ht="29.25" customHeight="1" x14ac:dyDescent="0.2">
      <c r="A176" s="1034"/>
      <c r="B176" s="1036"/>
      <c r="C176" s="1057"/>
      <c r="D176" s="294" t="s">
        <v>2237</v>
      </c>
      <c r="E176" s="37">
        <v>2942</v>
      </c>
      <c r="F176" s="37">
        <v>3638</v>
      </c>
      <c r="G176" s="304">
        <f t="shared" si="13"/>
        <v>123.65737593473827</v>
      </c>
      <c r="H176" s="38"/>
      <c r="I176" s="39"/>
      <c r="J176" s="39"/>
    </row>
    <row r="177" spans="1:10" ht="20.25" customHeight="1" x14ac:dyDescent="0.2">
      <c r="A177" s="1034"/>
      <c r="B177" s="1036"/>
      <c r="C177" s="1057"/>
      <c r="D177" s="293" t="s">
        <v>2238</v>
      </c>
      <c r="E177" s="37">
        <v>162</v>
      </c>
      <c r="F177" s="37">
        <v>179</v>
      </c>
      <c r="G177" s="304">
        <f t="shared" si="13"/>
        <v>110.49382716049382</v>
      </c>
      <c r="H177" s="38"/>
      <c r="I177" s="39"/>
      <c r="J177" s="39"/>
    </row>
    <row r="178" spans="1:10" ht="26.25" customHeight="1" x14ac:dyDescent="0.2">
      <c r="A178" s="1026"/>
      <c r="B178" s="1037"/>
      <c r="C178" s="1058"/>
      <c r="D178" s="607" t="s">
        <v>2239</v>
      </c>
      <c r="E178" s="37">
        <v>10</v>
      </c>
      <c r="F178" s="37">
        <v>8</v>
      </c>
      <c r="G178" s="304">
        <f t="shared" si="13"/>
        <v>80</v>
      </c>
      <c r="H178" s="38"/>
      <c r="I178" s="39"/>
      <c r="J178" s="39"/>
    </row>
    <row r="179" spans="1:10" ht="28.5" customHeight="1" x14ac:dyDescent="0.2">
      <c r="A179" s="1025" t="s">
        <v>2177</v>
      </c>
      <c r="B179" s="1062" t="s">
        <v>2178</v>
      </c>
      <c r="C179" s="1056" t="s">
        <v>40</v>
      </c>
      <c r="D179" s="164" t="s">
        <v>2240</v>
      </c>
      <c r="E179" s="37">
        <v>85</v>
      </c>
      <c r="F179" s="37">
        <v>49</v>
      </c>
      <c r="G179" s="304">
        <f t="shared" si="13"/>
        <v>57.647058823529406</v>
      </c>
      <c r="H179" s="38"/>
      <c r="I179" s="39"/>
      <c r="J179" s="39"/>
    </row>
    <row r="180" spans="1:10" ht="27" customHeight="1" x14ac:dyDescent="0.2">
      <c r="A180" s="1034"/>
      <c r="B180" s="1060"/>
      <c r="C180" s="1057"/>
      <c r="D180" s="294" t="s">
        <v>2241</v>
      </c>
      <c r="E180" s="37">
        <v>46</v>
      </c>
      <c r="F180" s="37">
        <v>27</v>
      </c>
      <c r="G180" s="304">
        <f t="shared" si="13"/>
        <v>58.695652173913047</v>
      </c>
      <c r="H180" s="38"/>
      <c r="I180" s="39"/>
      <c r="J180" s="39"/>
    </row>
    <row r="181" spans="1:10" ht="29.25" customHeight="1" x14ac:dyDescent="0.2">
      <c r="A181" s="1026"/>
      <c r="B181" s="1061"/>
      <c r="C181" s="1058"/>
      <c r="D181" s="294" t="s">
        <v>2237</v>
      </c>
      <c r="E181" s="37">
        <v>1195</v>
      </c>
      <c r="F181" s="37">
        <v>1089</v>
      </c>
      <c r="G181" s="304">
        <f t="shared" si="13"/>
        <v>91.129707112970721</v>
      </c>
      <c r="H181" s="38"/>
      <c r="I181" s="39"/>
      <c r="J181" s="39"/>
    </row>
    <row r="182" spans="1:10" ht="27.75" customHeight="1" x14ac:dyDescent="0.2">
      <c r="A182" s="568" t="s">
        <v>2179</v>
      </c>
      <c r="B182" s="570" t="s">
        <v>2180</v>
      </c>
      <c r="C182" s="607" t="s">
        <v>40</v>
      </c>
      <c r="D182" s="294" t="s">
        <v>469</v>
      </c>
      <c r="E182" s="37">
        <v>35</v>
      </c>
      <c r="F182" s="37">
        <v>26</v>
      </c>
      <c r="G182" s="304">
        <f t="shared" si="13"/>
        <v>74.285714285714292</v>
      </c>
      <c r="H182" s="38"/>
      <c r="I182" s="39"/>
      <c r="J182" s="39"/>
    </row>
    <row r="183" spans="1:10" ht="18" customHeight="1" x14ac:dyDescent="0.2">
      <c r="A183" s="465"/>
      <c r="B183" s="643" t="s">
        <v>2181</v>
      </c>
      <c r="C183" s="164"/>
      <c r="D183" s="164"/>
      <c r="E183" s="37"/>
      <c r="F183" s="37"/>
      <c r="G183" s="304"/>
      <c r="H183" s="45">
        <f>+H172/2</f>
        <v>217409</v>
      </c>
      <c r="I183" s="278">
        <f>+I172/2</f>
        <v>217409</v>
      </c>
      <c r="J183" s="39"/>
    </row>
    <row r="184" spans="1:10" ht="24" customHeight="1" x14ac:dyDescent="0.2">
      <c r="A184" s="54">
        <v>5.2</v>
      </c>
      <c r="B184" s="12" t="s">
        <v>2182</v>
      </c>
      <c r="C184" s="599"/>
      <c r="D184" s="164"/>
      <c r="E184" s="37"/>
      <c r="F184" s="37"/>
      <c r="G184" s="304"/>
      <c r="H184" s="38"/>
      <c r="I184" s="39"/>
      <c r="J184" s="39"/>
    </row>
    <row r="185" spans="1:10" ht="25.5" customHeight="1" x14ac:dyDescent="0.2">
      <c r="A185" s="1025" t="s">
        <v>2183</v>
      </c>
      <c r="B185" s="1027" t="s">
        <v>2184</v>
      </c>
      <c r="C185" s="1031" t="s">
        <v>40</v>
      </c>
      <c r="D185" s="164" t="s">
        <v>2242</v>
      </c>
      <c r="E185" s="37">
        <v>28</v>
      </c>
      <c r="F185" s="37">
        <v>23</v>
      </c>
      <c r="G185" s="304">
        <f>+F185/E185*100</f>
        <v>82.142857142857139</v>
      </c>
      <c r="H185" s="38"/>
      <c r="I185" s="39"/>
      <c r="J185" s="39"/>
    </row>
    <row r="186" spans="1:10" ht="18.75" customHeight="1" x14ac:dyDescent="0.2">
      <c r="A186" s="1034"/>
      <c r="B186" s="1028"/>
      <c r="C186" s="1041"/>
      <c r="D186" s="294" t="s">
        <v>2243</v>
      </c>
      <c r="E186" s="37">
        <v>42</v>
      </c>
      <c r="F186" s="37">
        <v>28</v>
      </c>
      <c r="G186" s="304">
        <f>+F186/E186*100</f>
        <v>66.666666666666657</v>
      </c>
      <c r="H186" s="38"/>
      <c r="I186" s="39"/>
      <c r="J186" s="39"/>
    </row>
    <row r="187" spans="1:10" ht="20.25" customHeight="1" x14ac:dyDescent="0.2">
      <c r="A187" s="1026"/>
      <c r="B187" s="1029"/>
      <c r="C187" s="1032"/>
      <c r="D187" s="294" t="s">
        <v>564</v>
      </c>
      <c r="E187" s="37">
        <v>29</v>
      </c>
      <c r="F187" s="37">
        <v>13</v>
      </c>
      <c r="G187" s="304">
        <f>+F187/E187*100</f>
        <v>44.827586206896555</v>
      </c>
      <c r="H187" s="38"/>
      <c r="I187" s="39"/>
      <c r="J187" s="39"/>
    </row>
    <row r="188" spans="1:10" ht="40.5" customHeight="1" x14ac:dyDescent="0.2">
      <c r="A188" s="568" t="s">
        <v>2185</v>
      </c>
      <c r="B188" s="571" t="s">
        <v>2186</v>
      </c>
      <c r="C188" s="607" t="s">
        <v>40</v>
      </c>
      <c r="D188" s="294" t="s">
        <v>2244</v>
      </c>
      <c r="E188" s="37">
        <v>25</v>
      </c>
      <c r="F188" s="37">
        <v>31</v>
      </c>
      <c r="G188" s="304">
        <f>+F188/E188*100</f>
        <v>124</v>
      </c>
      <c r="H188" s="38"/>
      <c r="I188" s="39"/>
      <c r="J188" s="39"/>
    </row>
    <row r="189" spans="1:10" ht="30" customHeight="1" x14ac:dyDescent="0.2">
      <c r="A189" s="568" t="s">
        <v>2187</v>
      </c>
      <c r="B189" s="572" t="s">
        <v>2188</v>
      </c>
      <c r="C189" s="607" t="s">
        <v>40</v>
      </c>
      <c r="D189" s="294" t="s">
        <v>469</v>
      </c>
      <c r="E189" s="37">
        <v>41</v>
      </c>
      <c r="F189" s="37">
        <v>33</v>
      </c>
      <c r="G189" s="304">
        <f>+F189/E189*100</f>
        <v>80.487804878048792</v>
      </c>
      <c r="H189" s="38"/>
      <c r="I189" s="39"/>
      <c r="J189" s="39"/>
    </row>
    <row r="190" spans="1:10" ht="19.5" customHeight="1" x14ac:dyDescent="0.2">
      <c r="A190" s="1033">
        <v>5.3</v>
      </c>
      <c r="B190" s="1059" t="s">
        <v>2189</v>
      </c>
      <c r="C190" s="1056" t="s">
        <v>40</v>
      </c>
      <c r="D190" s="607"/>
      <c r="E190" s="37"/>
      <c r="F190" s="37"/>
      <c r="G190" s="304"/>
      <c r="H190" s="38"/>
      <c r="I190" s="39"/>
      <c r="J190" s="39"/>
    </row>
    <row r="191" spans="1:10" ht="30.75" customHeight="1" x14ac:dyDescent="0.2">
      <c r="A191" s="1033"/>
      <c r="B191" s="998"/>
      <c r="C191" s="1057"/>
      <c r="D191" s="607" t="s">
        <v>2236</v>
      </c>
      <c r="E191" s="37">
        <v>121</v>
      </c>
      <c r="F191" s="37">
        <v>108</v>
      </c>
      <c r="G191" s="304">
        <f>+F191/E191*100</f>
        <v>89.256198347107443</v>
      </c>
      <c r="H191" s="38"/>
      <c r="I191" s="39"/>
      <c r="J191" s="39"/>
    </row>
    <row r="192" spans="1:10" ht="54.75" customHeight="1" x14ac:dyDescent="0.2">
      <c r="A192" s="1033"/>
      <c r="B192" s="1060"/>
      <c r="C192" s="1057"/>
      <c r="D192" s="164" t="s">
        <v>2245</v>
      </c>
      <c r="E192" s="37">
        <v>72</v>
      </c>
      <c r="F192" s="37">
        <v>112</v>
      </c>
      <c r="G192" s="304">
        <f>+F192/E192*100</f>
        <v>155.55555555555557</v>
      </c>
      <c r="H192" s="38"/>
      <c r="I192" s="39"/>
      <c r="J192" s="39"/>
    </row>
    <row r="193" spans="1:10" ht="18" customHeight="1" x14ac:dyDescent="0.2">
      <c r="A193" s="1033"/>
      <c r="B193" s="1061"/>
      <c r="C193" s="1058"/>
      <c r="D193" s="164" t="s">
        <v>565</v>
      </c>
      <c r="E193" s="37">
        <v>2200</v>
      </c>
      <c r="F193" s="37">
        <v>2108</v>
      </c>
      <c r="G193" s="304">
        <f>+F193/E193*100</f>
        <v>95.818181818181813</v>
      </c>
      <c r="H193" s="38"/>
      <c r="I193" s="39"/>
      <c r="J193" s="39"/>
    </row>
    <row r="194" spans="1:10" ht="20.25" customHeight="1" x14ac:dyDescent="0.2">
      <c r="A194" s="465"/>
      <c r="B194" s="643" t="s">
        <v>2190</v>
      </c>
      <c r="C194" s="466"/>
      <c r="D194" s="607"/>
      <c r="E194" s="37"/>
      <c r="F194" s="37"/>
      <c r="G194" s="304"/>
      <c r="H194" s="45">
        <v>217409</v>
      </c>
      <c r="I194" s="278">
        <v>217409</v>
      </c>
      <c r="J194" s="313">
        <f>+I194/H194*100</f>
        <v>100</v>
      </c>
    </row>
    <row r="195" spans="1:10" ht="30.75" customHeight="1" x14ac:dyDescent="0.2">
      <c r="A195" s="568">
        <v>5.4</v>
      </c>
      <c r="B195" s="19" t="s">
        <v>2257</v>
      </c>
      <c r="C195" s="607"/>
      <c r="D195" s="607"/>
      <c r="E195" s="37"/>
      <c r="F195" s="37"/>
      <c r="G195" s="304"/>
      <c r="H195" s="38"/>
      <c r="I195" s="39"/>
      <c r="J195" s="39"/>
    </row>
    <row r="196" spans="1:10" ht="24" customHeight="1" x14ac:dyDescent="0.2">
      <c r="A196" s="568" t="s">
        <v>2191</v>
      </c>
      <c r="B196" s="19" t="s">
        <v>2192</v>
      </c>
      <c r="C196" s="607" t="s">
        <v>40</v>
      </c>
      <c r="D196" s="607" t="s">
        <v>493</v>
      </c>
      <c r="E196" s="37">
        <v>75</v>
      </c>
      <c r="F196" s="37">
        <v>57</v>
      </c>
      <c r="G196" s="304">
        <f t="shared" ref="G196:G221" si="14">+F196/E196*100</f>
        <v>76</v>
      </c>
      <c r="H196" s="38"/>
      <c r="I196" s="39"/>
      <c r="J196" s="39"/>
    </row>
    <row r="197" spans="1:10" ht="26.25" customHeight="1" x14ac:dyDescent="0.2">
      <c r="A197" s="568" t="s">
        <v>2193</v>
      </c>
      <c r="B197" s="19" t="s">
        <v>2194</v>
      </c>
      <c r="C197" s="607" t="s">
        <v>40</v>
      </c>
      <c r="D197" s="607" t="s">
        <v>2236</v>
      </c>
      <c r="E197" s="37">
        <v>42</v>
      </c>
      <c r="F197" s="37">
        <v>35</v>
      </c>
      <c r="G197" s="304">
        <f t="shared" si="14"/>
        <v>83.333333333333343</v>
      </c>
      <c r="H197" s="38"/>
      <c r="I197" s="39"/>
      <c r="J197" s="39"/>
    </row>
    <row r="198" spans="1:10" ht="27.75" customHeight="1" x14ac:dyDescent="0.2">
      <c r="A198" s="1033" t="s">
        <v>2195</v>
      </c>
      <c r="B198" s="956" t="s">
        <v>2196</v>
      </c>
      <c r="C198" s="1031" t="s">
        <v>40</v>
      </c>
      <c r="D198" s="607" t="s">
        <v>2236</v>
      </c>
      <c r="E198" s="37">
        <v>53</v>
      </c>
      <c r="F198" s="37">
        <v>45</v>
      </c>
      <c r="G198" s="304">
        <f t="shared" si="14"/>
        <v>84.905660377358487</v>
      </c>
      <c r="H198" s="38"/>
      <c r="I198" s="39"/>
      <c r="J198" s="39"/>
    </row>
    <row r="199" spans="1:10" ht="27" customHeight="1" x14ac:dyDescent="0.2">
      <c r="A199" s="1033"/>
      <c r="B199" s="1030"/>
      <c r="C199" s="1032"/>
      <c r="D199" s="607" t="s">
        <v>2246</v>
      </c>
      <c r="E199" s="37">
        <v>4156</v>
      </c>
      <c r="F199" s="37">
        <v>1348.13</v>
      </c>
      <c r="G199" s="304">
        <f t="shared" si="14"/>
        <v>32.438161693936479</v>
      </c>
      <c r="H199" s="38"/>
      <c r="I199" s="39"/>
      <c r="J199" s="39"/>
    </row>
    <row r="200" spans="1:10" ht="18" customHeight="1" x14ac:dyDescent="0.2">
      <c r="A200" s="465"/>
      <c r="B200" s="670" t="s">
        <v>2197</v>
      </c>
      <c r="C200" s="461"/>
      <c r="D200" s="607"/>
      <c r="E200" s="37">
        <f>'[3]Santa Cruz'!E193+'[3]San Pablo'!E193+'[3]San Miguel'!E193+'[3]San Marcos'!E193+'[3]San Igancio'!E193+[3]Jaén!E193+[3]Cutervo!E193+[3]Contumazá!E193+[3]Chota!E193+[3]Celendín!E193+[3]Cajabamba!E193+[3]Bambamarca!E193+[3]Cajamarca!E193</f>
        <v>0</v>
      </c>
      <c r="F200" s="37">
        <v>0</v>
      </c>
      <c r="G200" s="304"/>
      <c r="H200" s="45">
        <v>434818</v>
      </c>
      <c r="I200" s="278">
        <v>434818</v>
      </c>
      <c r="J200" s="313">
        <f>+I200/H200*100</f>
        <v>100</v>
      </c>
    </row>
    <row r="201" spans="1:10" ht="22.5" customHeight="1" x14ac:dyDescent="0.2">
      <c r="A201" s="1025">
        <v>6.1</v>
      </c>
      <c r="B201" s="1027" t="s">
        <v>2198</v>
      </c>
      <c r="C201" s="1056" t="s">
        <v>40</v>
      </c>
      <c r="D201" s="294" t="s">
        <v>2247</v>
      </c>
      <c r="E201" s="37">
        <v>877</v>
      </c>
      <c r="F201" s="37">
        <v>612.63</v>
      </c>
      <c r="G201" s="304">
        <f t="shared" si="14"/>
        <v>69.855188141391096</v>
      </c>
      <c r="H201" s="38"/>
      <c r="I201" s="39"/>
      <c r="J201" s="39"/>
    </row>
    <row r="202" spans="1:10" ht="21.75" customHeight="1" x14ac:dyDescent="0.2">
      <c r="A202" s="1034"/>
      <c r="B202" s="1028"/>
      <c r="C202" s="1057"/>
      <c r="D202" s="294" t="s">
        <v>2248</v>
      </c>
      <c r="E202" s="37">
        <v>2140500</v>
      </c>
      <c r="F202" s="37"/>
      <c r="G202" s="304">
        <f t="shared" si="14"/>
        <v>0</v>
      </c>
      <c r="H202" s="38"/>
      <c r="I202" s="39"/>
      <c r="J202" s="39"/>
    </row>
    <row r="203" spans="1:10" ht="21" customHeight="1" x14ac:dyDescent="0.2">
      <c r="A203" s="1034"/>
      <c r="B203" s="1028"/>
      <c r="C203" s="1057"/>
      <c r="D203" s="294" t="s">
        <v>2249</v>
      </c>
      <c r="E203" s="37">
        <v>1409</v>
      </c>
      <c r="F203" s="37">
        <v>938</v>
      </c>
      <c r="G203" s="304">
        <f t="shared" si="14"/>
        <v>66.572036905606808</v>
      </c>
      <c r="H203" s="38"/>
      <c r="I203" s="39"/>
      <c r="J203" s="39"/>
    </row>
    <row r="204" spans="1:10" ht="29.25" customHeight="1" x14ac:dyDescent="0.2">
      <c r="A204" s="1034"/>
      <c r="B204" s="1028"/>
      <c r="C204" s="1057"/>
      <c r="D204" s="294" t="s">
        <v>2236</v>
      </c>
      <c r="E204" s="37">
        <v>60</v>
      </c>
      <c r="F204" s="37">
        <v>38</v>
      </c>
      <c r="G204" s="304">
        <f t="shared" si="14"/>
        <v>63.333333333333329</v>
      </c>
      <c r="H204" s="38"/>
      <c r="I204" s="39"/>
      <c r="J204" s="39"/>
    </row>
    <row r="205" spans="1:10" ht="27.75" customHeight="1" x14ac:dyDescent="0.2">
      <c r="A205" s="1034"/>
      <c r="B205" s="1028"/>
      <c r="C205" s="1057"/>
      <c r="D205" s="294" t="s">
        <v>2237</v>
      </c>
      <c r="E205" s="37">
        <v>1417</v>
      </c>
      <c r="F205" s="37">
        <v>864</v>
      </c>
      <c r="G205" s="304">
        <f t="shared" si="14"/>
        <v>60.97388849682428</v>
      </c>
      <c r="H205" s="38"/>
      <c r="I205" s="39"/>
      <c r="J205" s="39"/>
    </row>
    <row r="206" spans="1:10" ht="28.5" customHeight="1" x14ac:dyDescent="0.2">
      <c r="A206" s="1026"/>
      <c r="B206" s="1029"/>
      <c r="C206" s="1058"/>
      <c r="D206" s="294" t="s">
        <v>2250</v>
      </c>
      <c r="E206" s="37">
        <v>175</v>
      </c>
      <c r="F206" s="37">
        <v>84</v>
      </c>
      <c r="G206" s="304">
        <f t="shared" si="14"/>
        <v>48</v>
      </c>
      <c r="H206" s="38"/>
      <c r="I206" s="39"/>
      <c r="J206" s="39"/>
    </row>
    <row r="207" spans="1:10" ht="19.5" customHeight="1" x14ac:dyDescent="0.2">
      <c r="A207" s="663"/>
      <c r="B207" s="670" t="s">
        <v>2199</v>
      </c>
      <c r="C207" s="183"/>
      <c r="D207" s="607"/>
      <c r="E207" s="37"/>
      <c r="F207" s="37"/>
      <c r="G207" s="304"/>
      <c r="H207" s="45">
        <v>434818</v>
      </c>
      <c r="I207" s="278">
        <v>434818</v>
      </c>
      <c r="J207" s="313">
        <f>+I207/H207*100</f>
        <v>100</v>
      </c>
    </row>
    <row r="208" spans="1:10" ht="25.5" customHeight="1" x14ac:dyDescent="0.2">
      <c r="A208" s="1025">
        <v>7</v>
      </c>
      <c r="B208" s="997" t="s">
        <v>2200</v>
      </c>
      <c r="C208" s="965" t="s">
        <v>40</v>
      </c>
      <c r="D208" s="607" t="s">
        <v>2251</v>
      </c>
      <c r="E208" s="37">
        <v>18</v>
      </c>
      <c r="F208" s="37">
        <v>9</v>
      </c>
      <c r="G208" s="304">
        <f>+F208/E208*100</f>
        <v>50</v>
      </c>
      <c r="H208" s="38"/>
      <c r="I208" s="39"/>
      <c r="J208" s="39"/>
    </row>
    <row r="209" spans="1:10" ht="27.75" customHeight="1" x14ac:dyDescent="0.2">
      <c r="A209" s="1034"/>
      <c r="B209" s="999"/>
      <c r="C209" s="977"/>
      <c r="D209" s="607" t="s">
        <v>2252</v>
      </c>
      <c r="E209" s="37">
        <v>620</v>
      </c>
      <c r="F209" s="37">
        <v>199</v>
      </c>
      <c r="G209" s="304">
        <f>+F209/E209*100</f>
        <v>32.096774193548391</v>
      </c>
      <c r="H209" s="38"/>
      <c r="I209" s="39"/>
      <c r="J209" s="39"/>
    </row>
    <row r="210" spans="1:10" ht="21" customHeight="1" x14ac:dyDescent="0.2">
      <c r="A210" s="671">
        <v>6</v>
      </c>
      <c r="B210" s="672" t="s">
        <v>2201</v>
      </c>
      <c r="C210" s="17"/>
      <c r="D210" s="163"/>
      <c r="E210" s="898"/>
      <c r="F210" s="37"/>
      <c r="G210" s="304"/>
      <c r="H210" s="45">
        <v>434818</v>
      </c>
      <c r="I210" s="278">
        <v>434818</v>
      </c>
      <c r="J210" s="313">
        <f>+I210/H210*100</f>
        <v>100</v>
      </c>
    </row>
    <row r="211" spans="1:10" ht="27" customHeight="1" x14ac:dyDescent="0.2">
      <c r="A211" s="673">
        <v>1</v>
      </c>
      <c r="B211" s="342" t="s">
        <v>2202</v>
      </c>
      <c r="C211" s="164" t="s">
        <v>40</v>
      </c>
      <c r="D211" s="599" t="s">
        <v>90</v>
      </c>
      <c r="E211" s="37">
        <v>1</v>
      </c>
      <c r="F211" s="37">
        <v>2</v>
      </c>
      <c r="G211" s="304">
        <f t="shared" si="14"/>
        <v>200</v>
      </c>
      <c r="H211" s="38"/>
      <c r="I211" s="39"/>
      <c r="J211" s="39"/>
    </row>
    <row r="212" spans="1:10" ht="25.5" customHeight="1" x14ac:dyDescent="0.2">
      <c r="A212" s="568">
        <v>2</v>
      </c>
      <c r="B212" s="674" t="s">
        <v>2203</v>
      </c>
      <c r="C212" s="164" t="s">
        <v>40</v>
      </c>
      <c r="D212" s="607" t="s">
        <v>533</v>
      </c>
      <c r="E212" s="37">
        <v>8000</v>
      </c>
      <c r="F212" s="37">
        <v>79000</v>
      </c>
      <c r="G212" s="304">
        <f t="shared" si="14"/>
        <v>987.5</v>
      </c>
      <c r="H212" s="38"/>
      <c r="I212" s="39"/>
      <c r="J212" s="39"/>
    </row>
    <row r="213" spans="1:10" ht="30.75" customHeight="1" x14ac:dyDescent="0.2">
      <c r="A213" s="542">
        <v>2.1</v>
      </c>
      <c r="B213" s="674" t="s">
        <v>2204</v>
      </c>
      <c r="C213" s="164" t="s">
        <v>40</v>
      </c>
      <c r="D213" s="607" t="s">
        <v>533</v>
      </c>
      <c r="E213" s="37">
        <v>123000</v>
      </c>
      <c r="F213" s="37">
        <v>71100</v>
      </c>
      <c r="G213" s="304">
        <f t="shared" si="14"/>
        <v>57.804878048780481</v>
      </c>
      <c r="H213" s="38"/>
      <c r="I213" s="39"/>
      <c r="J213" s="39"/>
    </row>
    <row r="214" spans="1:10" ht="27.75" customHeight="1" x14ac:dyDescent="0.2">
      <c r="A214" s="542">
        <v>2.2000000000000002</v>
      </c>
      <c r="B214" s="674" t="s">
        <v>2205</v>
      </c>
      <c r="C214" s="164" t="s">
        <v>40</v>
      </c>
      <c r="D214" s="607" t="s">
        <v>533</v>
      </c>
      <c r="E214" s="37">
        <v>308000</v>
      </c>
      <c r="F214" s="37">
        <v>29844</v>
      </c>
      <c r="G214" s="304">
        <f t="shared" si="14"/>
        <v>9.6896103896103902</v>
      </c>
      <c r="H214" s="38"/>
      <c r="I214" s="39"/>
      <c r="J214" s="39"/>
    </row>
    <row r="215" spans="1:10" ht="30.75" customHeight="1" x14ac:dyDescent="0.2">
      <c r="A215" s="675">
        <v>2.2999999999999998</v>
      </c>
      <c r="B215" s="676" t="s">
        <v>2206</v>
      </c>
      <c r="C215" s="164" t="s">
        <v>40</v>
      </c>
      <c r="D215" s="607" t="s">
        <v>533</v>
      </c>
      <c r="E215" s="37">
        <v>385000</v>
      </c>
      <c r="F215" s="37">
        <v>227000</v>
      </c>
      <c r="G215" s="304">
        <f t="shared" si="14"/>
        <v>58.961038961038959</v>
      </c>
      <c r="H215" s="38"/>
      <c r="I215" s="39"/>
      <c r="J215" s="39"/>
    </row>
    <row r="216" spans="1:10" ht="30.75" customHeight="1" x14ac:dyDescent="0.2">
      <c r="A216" s="675">
        <v>2.4</v>
      </c>
      <c r="B216" s="676" t="s">
        <v>2207</v>
      </c>
      <c r="C216" s="164" t="s">
        <v>40</v>
      </c>
      <c r="D216" s="607" t="s">
        <v>533</v>
      </c>
      <c r="E216" s="37">
        <v>25000</v>
      </c>
      <c r="F216" s="37">
        <v>1150</v>
      </c>
      <c r="G216" s="304">
        <f t="shared" si="14"/>
        <v>4.5999999999999996</v>
      </c>
      <c r="H216" s="38"/>
      <c r="I216" s="39"/>
      <c r="J216" s="39"/>
    </row>
    <row r="217" spans="1:10" ht="30.75" customHeight="1" x14ac:dyDescent="0.2">
      <c r="A217" s="568">
        <v>3</v>
      </c>
      <c r="B217" s="677" t="s">
        <v>2208</v>
      </c>
      <c r="C217" s="164" t="s">
        <v>40</v>
      </c>
      <c r="D217" s="607" t="s">
        <v>2253</v>
      </c>
      <c r="E217" s="37">
        <v>11</v>
      </c>
      <c r="F217" s="37">
        <v>5</v>
      </c>
      <c r="G217" s="304">
        <f t="shared" si="14"/>
        <v>45.454545454545453</v>
      </c>
      <c r="H217" s="38"/>
      <c r="I217" s="39"/>
      <c r="J217" s="39"/>
    </row>
    <row r="218" spans="1:10" ht="30.75" customHeight="1" x14ac:dyDescent="0.2">
      <c r="A218" s="568">
        <v>4</v>
      </c>
      <c r="B218" s="674" t="s">
        <v>2209</v>
      </c>
      <c r="C218" s="164" t="s">
        <v>40</v>
      </c>
      <c r="D218" s="607" t="s">
        <v>2254</v>
      </c>
      <c r="E218" s="37">
        <v>1</v>
      </c>
      <c r="F218" s="37">
        <v>1</v>
      </c>
      <c r="G218" s="304">
        <f t="shared" si="14"/>
        <v>100</v>
      </c>
      <c r="H218" s="38"/>
      <c r="I218" s="39"/>
      <c r="J218" s="39"/>
    </row>
    <row r="219" spans="1:10" ht="21" customHeight="1" x14ac:dyDescent="0.2">
      <c r="A219" s="678">
        <v>7</v>
      </c>
      <c r="B219" s="679" t="s">
        <v>2210</v>
      </c>
      <c r="C219" s="372"/>
      <c r="D219" s="466"/>
      <c r="E219" s="898">
        <f>'[3]Santa Cruz'!E220+'[3]San Pablo'!E220+'[3]San Miguel'!E220+'[3]San Marcos'!E220+'[3]San Igancio'!E220+[3]Jaén!E220+[3]Cutervo!E220+[3]Contumazá!E220+[3]Chota!E220+[3]Celendín!E220+[3]Cajabamba!E220+[3]Bambamarca!E220+[3]Cajamarca!E220</f>
        <v>0</v>
      </c>
      <c r="F219" s="37">
        <v>0</v>
      </c>
      <c r="G219" s="304"/>
      <c r="H219" s="45">
        <v>434818</v>
      </c>
      <c r="I219" s="278">
        <v>434818</v>
      </c>
      <c r="J219" s="313">
        <f>+I219/H219*100</f>
        <v>100</v>
      </c>
    </row>
    <row r="220" spans="1:10" ht="30.75" customHeight="1" x14ac:dyDescent="0.2">
      <c r="A220" s="568">
        <v>1</v>
      </c>
      <c r="B220" s="680" t="s">
        <v>2211</v>
      </c>
      <c r="C220" s="164" t="s">
        <v>40</v>
      </c>
      <c r="D220" s="681" t="s">
        <v>2255</v>
      </c>
      <c r="E220" s="37">
        <v>1370</v>
      </c>
      <c r="F220" s="37">
        <v>989</v>
      </c>
      <c r="G220" s="304">
        <f t="shared" si="14"/>
        <v>72.189781021897815</v>
      </c>
      <c r="H220" s="38"/>
      <c r="I220" s="39"/>
      <c r="J220" s="39"/>
    </row>
    <row r="221" spans="1:10" ht="24.75" customHeight="1" x14ac:dyDescent="0.2">
      <c r="A221" s="568">
        <v>2</v>
      </c>
      <c r="B221" s="680" t="s">
        <v>2212</v>
      </c>
      <c r="C221" s="164" t="s">
        <v>40</v>
      </c>
      <c r="D221" s="681" t="s">
        <v>566</v>
      </c>
      <c r="E221" s="37">
        <v>1370</v>
      </c>
      <c r="F221" s="37">
        <v>631</v>
      </c>
      <c r="G221" s="304">
        <f t="shared" si="14"/>
        <v>46.058394160583944</v>
      </c>
      <c r="H221" s="38"/>
      <c r="I221" s="39"/>
      <c r="J221" s="39"/>
    </row>
    <row r="222" spans="1:10" ht="24.75" customHeight="1" x14ac:dyDescent="0.2">
      <c r="A222" s="340" t="s">
        <v>1481</v>
      </c>
      <c r="C222" s="161"/>
      <c r="D222" s="161"/>
      <c r="E222" s="63"/>
      <c r="F222" s="63"/>
      <c r="G222" s="63"/>
      <c r="H222" s="325">
        <f>+H223</f>
        <v>198000</v>
      </c>
      <c r="I222" s="320">
        <f>+I223</f>
        <v>198000</v>
      </c>
      <c r="J222" s="81">
        <f t="shared" ref="J222:J228" si="15">+I222/H222*100</f>
        <v>100</v>
      </c>
    </row>
    <row r="223" spans="1:10" ht="30" customHeight="1" x14ac:dyDescent="0.2">
      <c r="A223" s="635">
        <v>1</v>
      </c>
      <c r="B223" s="683" t="s">
        <v>1482</v>
      </c>
      <c r="C223" s="292" t="s">
        <v>40</v>
      </c>
      <c r="D223" s="607" t="s">
        <v>2143</v>
      </c>
      <c r="E223" s="38">
        <v>1</v>
      </c>
      <c r="F223" s="390">
        <v>1</v>
      </c>
      <c r="G223" s="527">
        <f>+F223*100/E223</f>
        <v>100</v>
      </c>
      <c r="H223" s="37">
        <v>198000</v>
      </c>
      <c r="I223" s="273">
        <v>198000</v>
      </c>
      <c r="J223" s="273">
        <f t="shared" si="15"/>
        <v>100</v>
      </c>
    </row>
    <row r="224" spans="1:10" ht="23.25" customHeight="1" x14ac:dyDescent="0.2">
      <c r="A224" s="1009" t="s">
        <v>580</v>
      </c>
      <c r="B224" s="1010"/>
      <c r="C224" s="292"/>
      <c r="D224" s="607"/>
      <c r="E224" s="38"/>
      <c r="F224" s="390"/>
      <c r="G224" s="527"/>
      <c r="H224" s="67">
        <f>+H225</f>
        <v>1628907</v>
      </c>
      <c r="I224" s="81">
        <f>+I225</f>
        <v>854798.69</v>
      </c>
      <c r="J224" s="81">
        <f t="shared" si="15"/>
        <v>52.476825871581369</v>
      </c>
    </row>
    <row r="225" spans="1:10" ht="18" customHeight="1" x14ac:dyDescent="0.2">
      <c r="A225" s="635"/>
      <c r="B225" s="683" t="s">
        <v>86</v>
      </c>
      <c r="C225" s="292"/>
      <c r="D225" s="607"/>
      <c r="E225" s="38"/>
      <c r="F225" s="390"/>
      <c r="G225" s="527"/>
      <c r="H225" s="37">
        <f>1576627+52280</f>
        <v>1628907</v>
      </c>
      <c r="I225" s="273">
        <f>818453.48+36345.21</f>
        <v>854798.69</v>
      </c>
      <c r="J225" s="273">
        <f t="shared" si="15"/>
        <v>52.476825871581369</v>
      </c>
    </row>
    <row r="226" spans="1:10" ht="24" customHeight="1" x14ac:dyDescent="0.2">
      <c r="A226" s="1017" t="s">
        <v>567</v>
      </c>
      <c r="B226" s="1018"/>
      <c r="C226" s="151"/>
      <c r="D226" s="577"/>
      <c r="E226" s="845"/>
      <c r="F226" s="63"/>
      <c r="G226" s="81"/>
      <c r="H226" s="67">
        <f>+H227+H301</f>
        <v>837340</v>
      </c>
      <c r="I226" s="81">
        <f>+I227+I301</f>
        <v>794349</v>
      </c>
      <c r="J226" s="320">
        <f t="shared" si="15"/>
        <v>94.865765399956999</v>
      </c>
    </row>
    <row r="227" spans="1:10" ht="18.75" customHeight="1" x14ac:dyDescent="0.2">
      <c r="A227" s="573">
        <v>1</v>
      </c>
      <c r="B227" s="35" t="s">
        <v>568</v>
      </c>
      <c r="C227" s="168"/>
      <c r="D227" s="578"/>
      <c r="E227" s="899"/>
      <c r="F227" s="900"/>
      <c r="G227" s="486"/>
      <c r="H227" s="41">
        <f>+H228+H237+H240+H245+H250+H256+H262+H266+H274</f>
        <v>329795</v>
      </c>
      <c r="I227" s="306">
        <f>+I228+I237+I240+I245+I250+I256+I262+I266+I274</f>
        <v>275342.64999999997</v>
      </c>
      <c r="J227" s="393">
        <f t="shared" si="15"/>
        <v>83.489031064752339</v>
      </c>
    </row>
    <row r="228" spans="1:10" ht="18.75" customHeight="1" x14ac:dyDescent="0.2">
      <c r="A228" s="472" t="s">
        <v>1791</v>
      </c>
      <c r="B228" s="570" t="s">
        <v>581</v>
      </c>
      <c r="C228" s="164"/>
      <c r="D228" s="579"/>
      <c r="E228" s="845"/>
      <c r="F228" s="63"/>
      <c r="G228" s="63"/>
      <c r="H228" s="24">
        <f>SUM(H229:H236)</f>
        <v>93212</v>
      </c>
      <c r="I228" s="318">
        <v>84860</v>
      </c>
      <c r="J228" s="318">
        <f t="shared" si="15"/>
        <v>91.039780285800106</v>
      </c>
    </row>
    <row r="229" spans="1:10" ht="18.75" customHeight="1" x14ac:dyDescent="0.2">
      <c r="A229" s="568" t="s">
        <v>1497</v>
      </c>
      <c r="B229" s="473" t="s">
        <v>1881</v>
      </c>
      <c r="C229" s="292" t="s">
        <v>40</v>
      </c>
      <c r="D229" s="183" t="s">
        <v>220</v>
      </c>
      <c r="E229" s="63">
        <v>36</v>
      </c>
      <c r="F229" s="63">
        <v>58</v>
      </c>
      <c r="G229" s="349">
        <f t="shared" ref="G229:G292" si="16">+F229/E229*100</f>
        <v>161.11111111111111</v>
      </c>
      <c r="H229" s="845">
        <v>8800</v>
      </c>
      <c r="I229" s="847">
        <v>8800</v>
      </c>
      <c r="J229" s="847">
        <v>100</v>
      </c>
    </row>
    <row r="230" spans="1:10" ht="18.75" customHeight="1" x14ac:dyDescent="0.2">
      <c r="A230" s="568">
        <v>1.2</v>
      </c>
      <c r="B230" s="473" t="s">
        <v>1792</v>
      </c>
      <c r="C230" s="292" t="s">
        <v>40</v>
      </c>
      <c r="D230" s="183" t="s">
        <v>467</v>
      </c>
      <c r="E230" s="63">
        <v>24</v>
      </c>
      <c r="F230" s="63">
        <v>19</v>
      </c>
      <c r="G230" s="349">
        <f t="shared" si="16"/>
        <v>79.166666666666657</v>
      </c>
      <c r="H230" s="845">
        <v>4200</v>
      </c>
      <c r="I230" s="847">
        <v>3560</v>
      </c>
      <c r="J230" s="847">
        <v>84</v>
      </c>
    </row>
    <row r="231" spans="1:10" ht="18.75" customHeight="1" x14ac:dyDescent="0.2">
      <c r="A231" s="568">
        <v>1.3</v>
      </c>
      <c r="B231" s="473" t="s">
        <v>1793</v>
      </c>
      <c r="C231" s="292" t="s">
        <v>40</v>
      </c>
      <c r="D231" s="183" t="s">
        <v>95</v>
      </c>
      <c r="E231" s="63">
        <v>20</v>
      </c>
      <c r="F231" s="63">
        <v>22</v>
      </c>
      <c r="G231" s="349">
        <f t="shared" si="16"/>
        <v>110.00000000000001</v>
      </c>
      <c r="H231" s="845">
        <v>10000</v>
      </c>
      <c r="I231" s="847">
        <v>10000</v>
      </c>
      <c r="J231" s="847">
        <v>100</v>
      </c>
    </row>
    <row r="232" spans="1:10" ht="18.75" customHeight="1" x14ac:dyDescent="0.2">
      <c r="A232" s="568">
        <v>1.4</v>
      </c>
      <c r="B232" s="473" t="s">
        <v>1794</v>
      </c>
      <c r="C232" s="292" t="s">
        <v>46</v>
      </c>
      <c r="D232" s="183" t="s">
        <v>1795</v>
      </c>
      <c r="E232" s="63">
        <v>5.5</v>
      </c>
      <c r="F232" s="63">
        <v>4.3499999999999996</v>
      </c>
      <c r="G232" s="349">
        <f t="shared" si="16"/>
        <v>79.090909090909093</v>
      </c>
      <c r="H232" s="845">
        <v>50800</v>
      </c>
      <c r="I232" s="847">
        <v>43000</v>
      </c>
      <c r="J232" s="847">
        <v>84</v>
      </c>
    </row>
    <row r="233" spans="1:10" ht="26.25" customHeight="1" x14ac:dyDescent="0.2">
      <c r="A233" s="568">
        <v>1.5</v>
      </c>
      <c r="B233" s="473" t="s">
        <v>1796</v>
      </c>
      <c r="C233" s="292" t="s">
        <v>40</v>
      </c>
      <c r="D233" s="183" t="s">
        <v>467</v>
      </c>
      <c r="E233" s="63">
        <v>36</v>
      </c>
      <c r="F233" s="63">
        <v>32</v>
      </c>
      <c r="G233" s="349">
        <f t="shared" si="16"/>
        <v>88.888888888888886</v>
      </c>
      <c r="H233" s="845">
        <v>7912</v>
      </c>
      <c r="I233" s="847">
        <v>7000</v>
      </c>
      <c r="J233" s="847">
        <v>88</v>
      </c>
    </row>
    <row r="234" spans="1:10" ht="18.75" customHeight="1" x14ac:dyDescent="0.2">
      <c r="A234" s="568">
        <v>1.6</v>
      </c>
      <c r="B234" s="473" t="s">
        <v>1797</v>
      </c>
      <c r="C234" s="292" t="s">
        <v>40</v>
      </c>
      <c r="D234" s="183" t="s">
        <v>220</v>
      </c>
      <c r="E234" s="63">
        <v>3</v>
      </c>
      <c r="F234" s="63">
        <v>3</v>
      </c>
      <c r="G234" s="349">
        <f t="shared" si="16"/>
        <v>100</v>
      </c>
      <c r="H234" s="845">
        <v>4500</v>
      </c>
      <c r="I234" s="847">
        <v>4500</v>
      </c>
      <c r="J234" s="847">
        <v>100</v>
      </c>
    </row>
    <row r="235" spans="1:10" ht="18.75" customHeight="1" x14ac:dyDescent="0.2">
      <c r="A235" s="568">
        <v>1.7</v>
      </c>
      <c r="B235" s="473" t="s">
        <v>1882</v>
      </c>
      <c r="C235" s="292" t="s">
        <v>40</v>
      </c>
      <c r="D235" s="183" t="s">
        <v>572</v>
      </c>
      <c r="E235" s="63">
        <v>2</v>
      </c>
      <c r="F235" s="63">
        <v>3</v>
      </c>
      <c r="G235" s="349">
        <f t="shared" si="16"/>
        <v>150</v>
      </c>
      <c r="H235" s="845">
        <v>4000</v>
      </c>
      <c r="I235" s="847">
        <v>4000</v>
      </c>
      <c r="J235" s="277">
        <f>+I235/H235*100</f>
        <v>100</v>
      </c>
    </row>
    <row r="236" spans="1:10" ht="18.75" customHeight="1" x14ac:dyDescent="0.2">
      <c r="A236" s="568">
        <v>1.8</v>
      </c>
      <c r="B236" s="473" t="s">
        <v>1883</v>
      </c>
      <c r="C236" s="292" t="s">
        <v>40</v>
      </c>
      <c r="D236" s="183" t="s">
        <v>248</v>
      </c>
      <c r="E236" s="63">
        <v>1</v>
      </c>
      <c r="F236" s="63">
        <v>1</v>
      </c>
      <c r="G236" s="349">
        <f t="shared" si="16"/>
        <v>100</v>
      </c>
      <c r="H236" s="845">
        <v>3000</v>
      </c>
      <c r="I236" s="847">
        <v>4000</v>
      </c>
      <c r="J236" s="277">
        <f>+I236/H236*100</f>
        <v>133.33333333333331</v>
      </c>
    </row>
    <row r="237" spans="1:10" ht="18.75" customHeight="1" x14ac:dyDescent="0.2">
      <c r="A237" s="474" t="s">
        <v>1798</v>
      </c>
      <c r="B237" s="475" t="s">
        <v>1799</v>
      </c>
      <c r="C237" s="292"/>
      <c r="D237" s="183"/>
      <c r="E237" s="63"/>
      <c r="F237" s="63"/>
      <c r="G237" s="349"/>
      <c r="H237" s="24">
        <f>SUM(H238:H239)</f>
        <v>30000</v>
      </c>
      <c r="I237" s="318">
        <v>32000</v>
      </c>
      <c r="J237" s="318">
        <f>+I237/H237*100</f>
        <v>106.66666666666667</v>
      </c>
    </row>
    <row r="238" spans="1:10" ht="18.75" customHeight="1" x14ac:dyDescent="0.2">
      <c r="A238" s="568" t="s">
        <v>1800</v>
      </c>
      <c r="B238" s="473" t="s">
        <v>1801</v>
      </c>
      <c r="C238" s="292" t="s">
        <v>40</v>
      </c>
      <c r="D238" s="183" t="s">
        <v>1802</v>
      </c>
      <c r="E238" s="63">
        <v>40</v>
      </c>
      <c r="F238" s="63">
        <v>57</v>
      </c>
      <c r="G238" s="349">
        <f t="shared" si="16"/>
        <v>142.5</v>
      </c>
      <c r="H238" s="845">
        <v>15000</v>
      </c>
      <c r="I238" s="847">
        <v>16000</v>
      </c>
      <c r="J238" s="847">
        <v>107</v>
      </c>
    </row>
    <row r="239" spans="1:10" ht="18.75" customHeight="1" x14ac:dyDescent="0.2">
      <c r="A239" s="568" t="s">
        <v>1800</v>
      </c>
      <c r="B239" s="473" t="s">
        <v>1803</v>
      </c>
      <c r="C239" s="292" t="s">
        <v>40</v>
      </c>
      <c r="D239" s="183" t="s">
        <v>1804</v>
      </c>
      <c r="E239" s="63">
        <v>10</v>
      </c>
      <c r="F239" s="63">
        <v>12</v>
      </c>
      <c r="G239" s="349">
        <f t="shared" si="16"/>
        <v>120</v>
      </c>
      <c r="H239" s="845">
        <v>15000</v>
      </c>
      <c r="I239" s="847">
        <v>16000</v>
      </c>
      <c r="J239" s="847">
        <v>107</v>
      </c>
    </row>
    <row r="240" spans="1:10" ht="18.75" customHeight="1" x14ac:dyDescent="0.2">
      <c r="A240" s="472" t="s">
        <v>1805</v>
      </c>
      <c r="B240" s="476" t="s">
        <v>1806</v>
      </c>
      <c r="C240" s="477"/>
      <c r="D240" s="183"/>
      <c r="E240" s="63"/>
      <c r="F240" s="63"/>
      <c r="G240" s="349"/>
      <c r="H240" s="24">
        <f>SUM(H241:H244)</f>
        <v>32300</v>
      </c>
      <c r="I240" s="318">
        <f>SUM(I241:I244)</f>
        <v>27500</v>
      </c>
      <c r="J240" s="318">
        <f>+I240/H240*100</f>
        <v>85.139318885448915</v>
      </c>
    </row>
    <row r="241" spans="1:10" ht="27" customHeight="1" x14ac:dyDescent="0.2">
      <c r="A241" s="568" t="s">
        <v>1807</v>
      </c>
      <c r="B241" s="473" t="s">
        <v>1808</v>
      </c>
      <c r="C241" s="292" t="s">
        <v>40</v>
      </c>
      <c r="D241" s="183" t="s">
        <v>572</v>
      </c>
      <c r="E241" s="63">
        <v>4</v>
      </c>
      <c r="F241" s="63">
        <v>3</v>
      </c>
      <c r="G241" s="349">
        <f t="shared" si="16"/>
        <v>75</v>
      </c>
      <c r="H241" s="845">
        <v>6500</v>
      </c>
      <c r="I241" s="847">
        <v>5500</v>
      </c>
      <c r="J241" s="847">
        <v>85</v>
      </c>
    </row>
    <row r="242" spans="1:10" ht="20.25" customHeight="1" x14ac:dyDescent="0.2">
      <c r="A242" s="568" t="s">
        <v>1809</v>
      </c>
      <c r="B242" s="473" t="s">
        <v>1810</v>
      </c>
      <c r="C242" s="292" t="s">
        <v>40</v>
      </c>
      <c r="D242" s="183" t="s">
        <v>521</v>
      </c>
      <c r="E242" s="63">
        <v>25</v>
      </c>
      <c r="F242" s="63">
        <v>10</v>
      </c>
      <c r="G242" s="349">
        <f t="shared" si="16"/>
        <v>40</v>
      </c>
      <c r="H242" s="845">
        <v>7500</v>
      </c>
      <c r="I242" s="847">
        <v>5000</v>
      </c>
      <c r="J242" s="847">
        <v>67</v>
      </c>
    </row>
    <row r="243" spans="1:10" ht="18.75" customHeight="1" x14ac:dyDescent="0.2">
      <c r="A243" s="568" t="s">
        <v>578</v>
      </c>
      <c r="B243" s="473" t="s">
        <v>1811</v>
      </c>
      <c r="C243" s="292" t="s">
        <v>40</v>
      </c>
      <c r="D243" s="183" t="s">
        <v>95</v>
      </c>
      <c r="E243" s="63">
        <v>6</v>
      </c>
      <c r="F243" s="63">
        <v>8</v>
      </c>
      <c r="G243" s="349">
        <f t="shared" si="16"/>
        <v>133.33333333333331</v>
      </c>
      <c r="H243" s="845">
        <v>10500</v>
      </c>
      <c r="I243" s="847">
        <v>12000</v>
      </c>
      <c r="J243" s="847">
        <v>114</v>
      </c>
    </row>
    <row r="244" spans="1:10" ht="18.75" customHeight="1" x14ac:dyDescent="0.2">
      <c r="A244" s="568" t="s">
        <v>1812</v>
      </c>
      <c r="B244" s="473" t="s">
        <v>1884</v>
      </c>
      <c r="C244" s="292" t="s">
        <v>40</v>
      </c>
      <c r="D244" s="183" t="s">
        <v>220</v>
      </c>
      <c r="E244" s="63">
        <v>6</v>
      </c>
      <c r="F244" s="63">
        <v>2</v>
      </c>
      <c r="G244" s="349">
        <f t="shared" si="16"/>
        <v>33.333333333333329</v>
      </c>
      <c r="H244" s="845">
        <v>7800</v>
      </c>
      <c r="I244" s="847">
        <v>5000</v>
      </c>
      <c r="J244" s="847">
        <v>64</v>
      </c>
    </row>
    <row r="245" spans="1:10" ht="18.75" customHeight="1" x14ac:dyDescent="0.2">
      <c r="A245" s="474" t="s">
        <v>1813</v>
      </c>
      <c r="B245" s="475" t="s">
        <v>1814</v>
      </c>
      <c r="C245" s="477"/>
      <c r="D245" s="183"/>
      <c r="E245" s="63"/>
      <c r="F245" s="878"/>
      <c r="G245" s="349"/>
      <c r="H245" s="24">
        <f>SUM(H246:H249)</f>
        <v>16400</v>
      </c>
      <c r="I245" s="318">
        <v>14000</v>
      </c>
      <c r="J245" s="318">
        <f>+I245/H245*100</f>
        <v>85.365853658536579</v>
      </c>
    </row>
    <row r="246" spans="1:10" ht="18.75" customHeight="1" x14ac:dyDescent="0.2">
      <c r="A246" s="568" t="s">
        <v>1503</v>
      </c>
      <c r="B246" s="473" t="s">
        <v>1815</v>
      </c>
      <c r="C246" s="292" t="s">
        <v>40</v>
      </c>
      <c r="D246" s="183" t="s">
        <v>573</v>
      </c>
      <c r="E246" s="63">
        <v>30</v>
      </c>
      <c r="F246" s="63">
        <v>9</v>
      </c>
      <c r="G246" s="349">
        <f t="shared" si="16"/>
        <v>30</v>
      </c>
      <c r="H246" s="845">
        <v>2900</v>
      </c>
      <c r="I246" s="847">
        <v>2000</v>
      </c>
      <c r="J246" s="847">
        <v>68</v>
      </c>
    </row>
    <row r="247" spans="1:10" ht="18.75" customHeight="1" x14ac:dyDescent="0.2">
      <c r="A247" s="568" t="s">
        <v>1816</v>
      </c>
      <c r="B247" s="473" t="s">
        <v>1817</v>
      </c>
      <c r="C247" s="292" t="s">
        <v>40</v>
      </c>
      <c r="D247" s="183" t="s">
        <v>574</v>
      </c>
      <c r="E247" s="63">
        <v>30</v>
      </c>
      <c r="F247" s="63">
        <v>15</v>
      </c>
      <c r="G247" s="349">
        <f t="shared" si="16"/>
        <v>50</v>
      </c>
      <c r="H247" s="845">
        <v>2900</v>
      </c>
      <c r="I247" s="847">
        <v>2000</v>
      </c>
      <c r="J247" s="847">
        <v>68</v>
      </c>
    </row>
    <row r="248" spans="1:10" ht="27.75" customHeight="1" x14ac:dyDescent="0.2">
      <c r="A248" s="568" t="s">
        <v>1818</v>
      </c>
      <c r="B248" s="473" t="s">
        <v>1819</v>
      </c>
      <c r="C248" s="292" t="s">
        <v>40</v>
      </c>
      <c r="D248" s="183" t="s">
        <v>415</v>
      </c>
      <c r="E248" s="63">
        <v>20</v>
      </c>
      <c r="F248" s="63">
        <v>57</v>
      </c>
      <c r="G248" s="349">
        <f t="shared" si="16"/>
        <v>285</v>
      </c>
      <c r="H248" s="845">
        <v>8800</v>
      </c>
      <c r="I248" s="847">
        <v>10000</v>
      </c>
      <c r="J248" s="847">
        <v>113</v>
      </c>
    </row>
    <row r="249" spans="1:10" ht="27.75" customHeight="1" x14ac:dyDescent="0.2">
      <c r="A249" s="568" t="s">
        <v>1820</v>
      </c>
      <c r="B249" s="473" t="s">
        <v>1821</v>
      </c>
      <c r="C249" s="292" t="s">
        <v>40</v>
      </c>
      <c r="D249" s="183" t="s">
        <v>222</v>
      </c>
      <c r="E249" s="63">
        <v>3</v>
      </c>
      <c r="F249" s="63">
        <v>0</v>
      </c>
      <c r="G249" s="349">
        <f t="shared" si="16"/>
        <v>0</v>
      </c>
      <c r="H249" s="845">
        <v>1800</v>
      </c>
      <c r="I249" s="847">
        <v>0</v>
      </c>
      <c r="J249" s="847">
        <v>0</v>
      </c>
    </row>
    <row r="250" spans="1:10" ht="24" customHeight="1" x14ac:dyDescent="0.2">
      <c r="A250" s="474" t="s">
        <v>1822</v>
      </c>
      <c r="B250" s="475" t="s">
        <v>1823</v>
      </c>
      <c r="C250" s="477"/>
      <c r="D250" s="183"/>
      <c r="E250" s="63"/>
      <c r="F250" s="63"/>
      <c r="G250" s="349"/>
      <c r="H250" s="24">
        <f>SUM(H251:H255)</f>
        <v>32040</v>
      </c>
      <c r="I250" s="318">
        <f>SUM(I251:I255)</f>
        <v>18600</v>
      </c>
      <c r="J250" s="318">
        <f>+I250/H250*100</f>
        <v>58.052434456928836</v>
      </c>
    </row>
    <row r="251" spans="1:10" ht="28.5" customHeight="1" x14ac:dyDescent="0.2">
      <c r="A251" s="568" t="s">
        <v>1824</v>
      </c>
      <c r="B251" s="473" t="s">
        <v>1825</v>
      </c>
      <c r="C251" s="292" t="s">
        <v>40</v>
      </c>
      <c r="D251" s="183" t="s">
        <v>95</v>
      </c>
      <c r="E251" s="63">
        <v>12</v>
      </c>
      <c r="F251" s="63">
        <v>5</v>
      </c>
      <c r="G251" s="349">
        <f t="shared" si="16"/>
        <v>41.666666666666671</v>
      </c>
      <c r="H251" s="845">
        <v>4800</v>
      </c>
      <c r="I251" s="847">
        <v>3500</v>
      </c>
      <c r="J251" s="847">
        <v>72</v>
      </c>
    </row>
    <row r="252" spans="1:10" ht="27.75" customHeight="1" x14ac:dyDescent="0.2">
      <c r="A252" s="568" t="s">
        <v>1826</v>
      </c>
      <c r="B252" s="473" t="s">
        <v>1885</v>
      </c>
      <c r="C252" s="292" t="s">
        <v>40</v>
      </c>
      <c r="D252" s="183" t="s">
        <v>220</v>
      </c>
      <c r="E252" s="63">
        <v>12</v>
      </c>
      <c r="F252" s="63">
        <v>12</v>
      </c>
      <c r="G252" s="349">
        <f t="shared" si="16"/>
        <v>100</v>
      </c>
      <c r="H252" s="845">
        <v>1800</v>
      </c>
      <c r="I252" s="847">
        <v>1800</v>
      </c>
      <c r="J252" s="847">
        <v>100</v>
      </c>
    </row>
    <row r="253" spans="1:10" ht="23.25" customHeight="1" x14ac:dyDescent="0.2">
      <c r="A253" s="568" t="s">
        <v>1827</v>
      </c>
      <c r="B253" s="473" t="s">
        <v>1828</v>
      </c>
      <c r="C253" s="292" t="s">
        <v>40</v>
      </c>
      <c r="D253" s="183" t="s">
        <v>220</v>
      </c>
      <c r="E253" s="63">
        <v>12</v>
      </c>
      <c r="F253" s="63">
        <v>9</v>
      </c>
      <c r="G253" s="349">
        <f t="shared" si="16"/>
        <v>75</v>
      </c>
      <c r="H253" s="845">
        <v>1680</v>
      </c>
      <c r="I253" s="847">
        <v>1300</v>
      </c>
      <c r="J253" s="847">
        <v>77</v>
      </c>
    </row>
    <row r="254" spans="1:10" ht="26.25" customHeight="1" x14ac:dyDescent="0.2">
      <c r="A254" s="568" t="s">
        <v>1829</v>
      </c>
      <c r="B254" s="473" t="s">
        <v>1830</v>
      </c>
      <c r="C254" s="292" t="s">
        <v>40</v>
      </c>
      <c r="D254" s="183" t="s">
        <v>95</v>
      </c>
      <c r="E254" s="63">
        <v>24</v>
      </c>
      <c r="F254" s="63">
        <v>7</v>
      </c>
      <c r="G254" s="349">
        <f t="shared" si="16"/>
        <v>29.166666666666668</v>
      </c>
      <c r="H254" s="845">
        <v>12960</v>
      </c>
      <c r="I254" s="847">
        <v>6000</v>
      </c>
      <c r="J254" s="847">
        <v>46</v>
      </c>
    </row>
    <row r="255" spans="1:10" ht="24.75" customHeight="1" x14ac:dyDescent="0.2">
      <c r="A255" s="568" t="s">
        <v>1831</v>
      </c>
      <c r="B255" s="473" t="s">
        <v>1832</v>
      </c>
      <c r="C255" s="292" t="s">
        <v>40</v>
      </c>
      <c r="D255" s="183" t="s">
        <v>52</v>
      </c>
      <c r="E255" s="63">
        <v>6</v>
      </c>
      <c r="F255" s="63">
        <v>2</v>
      </c>
      <c r="G255" s="349">
        <f t="shared" si="16"/>
        <v>33.333333333333329</v>
      </c>
      <c r="H255" s="845">
        <v>10800</v>
      </c>
      <c r="I255" s="847">
        <v>6000</v>
      </c>
      <c r="J255" s="847">
        <v>55</v>
      </c>
    </row>
    <row r="256" spans="1:10" ht="21.75" customHeight="1" x14ac:dyDescent="0.2">
      <c r="A256" s="474" t="s">
        <v>1833</v>
      </c>
      <c r="B256" s="475" t="s">
        <v>1834</v>
      </c>
      <c r="C256" s="164"/>
      <c r="D256" s="183"/>
      <c r="E256" s="63"/>
      <c r="F256" s="63"/>
      <c r="G256" s="349"/>
      <c r="H256" s="24">
        <f>SUM(H257:H261)</f>
        <v>38406</v>
      </c>
      <c r="I256" s="318">
        <f>SUM(I257:I261)</f>
        <v>36500</v>
      </c>
      <c r="J256" s="318">
        <f>+I256/H256*100</f>
        <v>95.03723376555746</v>
      </c>
    </row>
    <row r="257" spans="1:10" ht="26.25" customHeight="1" x14ac:dyDescent="0.2">
      <c r="A257" s="568" t="s">
        <v>1835</v>
      </c>
      <c r="B257" s="473" t="s">
        <v>1836</v>
      </c>
      <c r="C257" s="292" t="s">
        <v>40</v>
      </c>
      <c r="D257" s="183" t="s">
        <v>95</v>
      </c>
      <c r="E257" s="63">
        <v>15</v>
      </c>
      <c r="F257" s="63">
        <v>22</v>
      </c>
      <c r="G257" s="349">
        <f t="shared" si="16"/>
        <v>146.66666666666666</v>
      </c>
      <c r="H257" s="845">
        <v>11700</v>
      </c>
      <c r="I257" s="847">
        <v>13000</v>
      </c>
      <c r="J257" s="847">
        <v>111</v>
      </c>
    </row>
    <row r="258" spans="1:10" ht="24" customHeight="1" x14ac:dyDescent="0.2">
      <c r="A258" s="568" t="s">
        <v>1837</v>
      </c>
      <c r="B258" s="19" t="s">
        <v>1879</v>
      </c>
      <c r="C258" s="292" t="s">
        <v>40</v>
      </c>
      <c r="D258" s="183" t="s">
        <v>1910</v>
      </c>
      <c r="E258" s="63">
        <v>100</v>
      </c>
      <c r="F258" s="63">
        <v>139</v>
      </c>
      <c r="G258" s="349">
        <f t="shared" si="16"/>
        <v>139</v>
      </c>
      <c r="H258" s="845">
        <v>7700</v>
      </c>
      <c r="I258" s="847">
        <v>8000</v>
      </c>
      <c r="J258" s="847">
        <v>103</v>
      </c>
    </row>
    <row r="259" spans="1:10" ht="22.5" customHeight="1" x14ac:dyDescent="0.2">
      <c r="A259" s="568" t="s">
        <v>1838</v>
      </c>
      <c r="B259" s="473" t="s">
        <v>1839</v>
      </c>
      <c r="C259" s="292" t="s">
        <v>40</v>
      </c>
      <c r="D259" s="183" t="s">
        <v>575</v>
      </c>
      <c r="E259" s="63">
        <v>80</v>
      </c>
      <c r="F259" s="63">
        <v>42</v>
      </c>
      <c r="G259" s="349">
        <f t="shared" si="16"/>
        <v>52.5</v>
      </c>
      <c r="H259" s="845">
        <v>9760</v>
      </c>
      <c r="I259" s="847">
        <v>8000</v>
      </c>
      <c r="J259" s="847">
        <v>81</v>
      </c>
    </row>
    <row r="260" spans="1:10" ht="30.95" customHeight="1" x14ac:dyDescent="0.2">
      <c r="A260" s="568" t="s">
        <v>1840</v>
      </c>
      <c r="B260" s="473" t="s">
        <v>1841</v>
      </c>
      <c r="C260" s="292" t="s">
        <v>40</v>
      </c>
      <c r="D260" s="183" t="s">
        <v>95</v>
      </c>
      <c r="E260" s="63">
        <v>7</v>
      </c>
      <c r="F260" s="63">
        <v>4</v>
      </c>
      <c r="G260" s="349">
        <f t="shared" si="16"/>
        <v>57.142857142857139</v>
      </c>
      <c r="H260" s="845">
        <v>6846</v>
      </c>
      <c r="I260" s="847">
        <v>5000</v>
      </c>
      <c r="J260" s="847">
        <v>73</v>
      </c>
    </row>
    <row r="261" spans="1:10" ht="30.95" customHeight="1" x14ac:dyDescent="0.2">
      <c r="A261" s="568" t="s">
        <v>1842</v>
      </c>
      <c r="B261" s="473" t="s">
        <v>576</v>
      </c>
      <c r="C261" s="292" t="s">
        <v>40</v>
      </c>
      <c r="D261" s="183" t="s">
        <v>312</v>
      </c>
      <c r="E261" s="63">
        <v>1</v>
      </c>
      <c r="F261" s="63">
        <v>2</v>
      </c>
      <c r="G261" s="349">
        <f t="shared" si="16"/>
        <v>200</v>
      </c>
      <c r="H261" s="845">
        <v>2400</v>
      </c>
      <c r="I261" s="847">
        <v>2500</v>
      </c>
      <c r="J261" s="847">
        <v>104</v>
      </c>
    </row>
    <row r="262" spans="1:10" ht="21.75" customHeight="1" x14ac:dyDescent="0.2">
      <c r="A262" s="474" t="s">
        <v>1843</v>
      </c>
      <c r="B262" s="475" t="s">
        <v>1956</v>
      </c>
      <c r="C262" s="164"/>
      <c r="D262" s="183"/>
      <c r="E262" s="63"/>
      <c r="F262" s="63"/>
      <c r="G262" s="349"/>
      <c r="H262" s="24">
        <f>SUM(H263:H265)</f>
        <v>22620</v>
      </c>
      <c r="I262" s="318">
        <f>SUM(I263:I265)</f>
        <v>19000</v>
      </c>
      <c r="J262" s="318">
        <f>+I262/H262*100</f>
        <v>83.996463306808138</v>
      </c>
    </row>
    <row r="263" spans="1:10" ht="22.5" customHeight="1" x14ac:dyDescent="0.2">
      <c r="A263" s="568">
        <v>7.1</v>
      </c>
      <c r="B263" s="473" t="s">
        <v>1886</v>
      </c>
      <c r="C263" s="292" t="s">
        <v>40</v>
      </c>
      <c r="D263" s="183" t="s">
        <v>467</v>
      </c>
      <c r="E263" s="63">
        <v>6</v>
      </c>
      <c r="F263" s="63">
        <v>4</v>
      </c>
      <c r="G263" s="349">
        <f t="shared" si="16"/>
        <v>66.666666666666657</v>
      </c>
      <c r="H263" s="845">
        <v>4860</v>
      </c>
      <c r="I263" s="847">
        <v>4000</v>
      </c>
      <c r="J263" s="847">
        <v>82</v>
      </c>
    </row>
    <row r="264" spans="1:10" ht="25.5" customHeight="1" x14ac:dyDescent="0.2">
      <c r="A264" s="568" t="s">
        <v>1844</v>
      </c>
      <c r="B264" s="473" t="s">
        <v>1845</v>
      </c>
      <c r="C264" s="292" t="s">
        <v>40</v>
      </c>
      <c r="D264" s="183" t="s">
        <v>1911</v>
      </c>
      <c r="E264" s="63">
        <v>24</v>
      </c>
      <c r="F264" s="63">
        <v>18</v>
      </c>
      <c r="G264" s="349">
        <f t="shared" si="16"/>
        <v>75</v>
      </c>
      <c r="H264" s="845">
        <v>12000</v>
      </c>
      <c r="I264" s="847">
        <v>10000</v>
      </c>
      <c r="J264" s="847">
        <v>83</v>
      </c>
    </row>
    <row r="265" spans="1:10" ht="21.75" customHeight="1" x14ac:dyDescent="0.2">
      <c r="A265" s="568" t="s">
        <v>1846</v>
      </c>
      <c r="B265" s="473" t="s">
        <v>1847</v>
      </c>
      <c r="C265" s="292" t="s">
        <v>40</v>
      </c>
      <c r="D265" s="183" t="s">
        <v>1848</v>
      </c>
      <c r="E265" s="63">
        <v>6</v>
      </c>
      <c r="F265" s="63">
        <v>4</v>
      </c>
      <c r="G265" s="349">
        <f t="shared" si="16"/>
        <v>66.666666666666657</v>
      </c>
      <c r="H265" s="845">
        <v>5760</v>
      </c>
      <c r="I265" s="847">
        <v>5000</v>
      </c>
      <c r="J265" s="847">
        <v>86</v>
      </c>
    </row>
    <row r="266" spans="1:10" ht="21" customHeight="1" x14ac:dyDescent="0.2">
      <c r="A266" s="474" t="s">
        <v>1849</v>
      </c>
      <c r="B266" s="475" t="s">
        <v>1850</v>
      </c>
      <c r="C266" s="164"/>
      <c r="D266" s="183"/>
      <c r="E266" s="63"/>
      <c r="F266" s="63"/>
      <c r="G266" s="349"/>
      <c r="H266" s="24">
        <f>SUM(H267:H273)</f>
        <v>39260</v>
      </c>
      <c r="I266" s="318">
        <v>25484.46</v>
      </c>
      <c r="J266" s="318">
        <f>+I266/H266*100</f>
        <v>64.912022414671426</v>
      </c>
    </row>
    <row r="267" spans="1:10" ht="30.95" customHeight="1" x14ac:dyDescent="0.2">
      <c r="A267" s="568" t="s">
        <v>1851</v>
      </c>
      <c r="B267" s="473" t="s">
        <v>1852</v>
      </c>
      <c r="C267" s="292" t="s">
        <v>40</v>
      </c>
      <c r="D267" s="183" t="s">
        <v>95</v>
      </c>
      <c r="E267" s="63">
        <v>8</v>
      </c>
      <c r="F267" s="63">
        <v>12</v>
      </c>
      <c r="G267" s="349">
        <f t="shared" si="16"/>
        <v>150</v>
      </c>
      <c r="H267" s="845">
        <v>6480</v>
      </c>
      <c r="I267" s="847">
        <v>7000</v>
      </c>
      <c r="J267" s="847">
        <v>108</v>
      </c>
    </row>
    <row r="268" spans="1:10" ht="20.25" customHeight="1" x14ac:dyDescent="0.2">
      <c r="A268" s="568" t="s">
        <v>1853</v>
      </c>
      <c r="B268" s="473" t="s">
        <v>1854</v>
      </c>
      <c r="C268" s="292" t="s">
        <v>40</v>
      </c>
      <c r="D268" s="183" t="s">
        <v>220</v>
      </c>
      <c r="E268" s="63">
        <v>72</v>
      </c>
      <c r="F268" s="63">
        <v>85</v>
      </c>
      <c r="G268" s="349">
        <f t="shared" si="16"/>
        <v>118.05555555555556</v>
      </c>
      <c r="H268" s="845">
        <v>3880</v>
      </c>
      <c r="I268" s="847">
        <v>4500</v>
      </c>
      <c r="J268" s="847">
        <v>115</v>
      </c>
    </row>
    <row r="269" spans="1:10" ht="21.75" customHeight="1" x14ac:dyDescent="0.2">
      <c r="A269" s="568" t="s">
        <v>1855</v>
      </c>
      <c r="B269" s="473" t="s">
        <v>1856</v>
      </c>
      <c r="C269" s="292" t="s">
        <v>40</v>
      </c>
      <c r="D269" s="183" t="s">
        <v>467</v>
      </c>
      <c r="E269" s="63">
        <v>4</v>
      </c>
      <c r="F269" s="63">
        <v>0</v>
      </c>
      <c r="G269" s="349">
        <f t="shared" si="16"/>
        <v>0</v>
      </c>
      <c r="H269" s="845">
        <v>4400</v>
      </c>
      <c r="I269" s="847">
        <v>0</v>
      </c>
      <c r="J269" s="847">
        <v>0</v>
      </c>
    </row>
    <row r="270" spans="1:10" ht="26.25" customHeight="1" x14ac:dyDescent="0.2">
      <c r="A270" s="568" t="s">
        <v>1857</v>
      </c>
      <c r="B270" s="473" t="s">
        <v>1858</v>
      </c>
      <c r="C270" s="292" t="s">
        <v>40</v>
      </c>
      <c r="D270" s="183" t="s">
        <v>52</v>
      </c>
      <c r="E270" s="63">
        <v>1</v>
      </c>
      <c r="F270" s="63">
        <v>2</v>
      </c>
      <c r="G270" s="349">
        <f t="shared" si="16"/>
        <v>200</v>
      </c>
      <c r="H270" s="845">
        <v>8000</v>
      </c>
      <c r="I270" s="847">
        <v>13984.46</v>
      </c>
      <c r="J270" s="847">
        <v>175</v>
      </c>
    </row>
    <row r="271" spans="1:10" ht="23.25" customHeight="1" x14ac:dyDescent="0.2">
      <c r="A271" s="568" t="s">
        <v>1859</v>
      </c>
      <c r="B271" s="473" t="s">
        <v>1860</v>
      </c>
      <c r="C271" s="292" t="s">
        <v>40</v>
      </c>
      <c r="D271" s="183" t="s">
        <v>52</v>
      </c>
      <c r="E271" s="63">
        <v>4</v>
      </c>
      <c r="F271" s="63">
        <v>0</v>
      </c>
      <c r="G271" s="349">
        <f t="shared" si="16"/>
        <v>0</v>
      </c>
      <c r="H271" s="845">
        <v>9000</v>
      </c>
      <c r="I271" s="847">
        <v>0</v>
      </c>
      <c r="J271" s="847">
        <v>0</v>
      </c>
    </row>
    <row r="272" spans="1:10" ht="23.25" customHeight="1" x14ac:dyDescent="0.2">
      <c r="A272" s="568" t="s">
        <v>1861</v>
      </c>
      <c r="B272" s="473" t="s">
        <v>1862</v>
      </c>
      <c r="C272" s="292" t="s">
        <v>40</v>
      </c>
      <c r="D272" s="183" t="s">
        <v>577</v>
      </c>
      <c r="E272" s="63">
        <v>1</v>
      </c>
      <c r="F272" s="63">
        <v>0</v>
      </c>
      <c r="G272" s="349">
        <f t="shared" si="16"/>
        <v>0</v>
      </c>
      <c r="H272" s="845">
        <v>4500</v>
      </c>
      <c r="I272" s="847">
        <v>0</v>
      </c>
      <c r="J272" s="847">
        <v>0</v>
      </c>
    </row>
    <row r="273" spans="1:10" ht="22.5" customHeight="1" x14ac:dyDescent="0.2">
      <c r="A273" s="568" t="s">
        <v>1863</v>
      </c>
      <c r="B273" s="473" t="s">
        <v>1880</v>
      </c>
      <c r="C273" s="292" t="s">
        <v>40</v>
      </c>
      <c r="D273" s="183" t="s">
        <v>467</v>
      </c>
      <c r="E273" s="63">
        <v>5</v>
      </c>
      <c r="F273" s="63">
        <v>0</v>
      </c>
      <c r="G273" s="349">
        <f t="shared" si="16"/>
        <v>0</v>
      </c>
      <c r="H273" s="845">
        <v>3000</v>
      </c>
      <c r="I273" s="847">
        <v>0</v>
      </c>
      <c r="J273" s="847">
        <v>0</v>
      </c>
    </row>
    <row r="274" spans="1:10" ht="20.25" customHeight="1" x14ac:dyDescent="0.2">
      <c r="A274" s="391">
        <v>2</v>
      </c>
      <c r="B274" s="391" t="s">
        <v>579</v>
      </c>
      <c r="C274" s="540"/>
      <c r="D274" s="481"/>
      <c r="E274" s="900"/>
      <c r="F274" s="900"/>
      <c r="G274" s="349"/>
      <c r="H274" s="478">
        <f>+H275+H277+H289+H295+H297+H299</f>
        <v>25557</v>
      </c>
      <c r="I274" s="393">
        <f>+I275+I277+I289+I295+I297+I299</f>
        <v>17398.189999999999</v>
      </c>
      <c r="J274" s="393">
        <f>+I274/H274*100</f>
        <v>68.076026137653088</v>
      </c>
    </row>
    <row r="275" spans="1:10" ht="40.5" customHeight="1" x14ac:dyDescent="0.2">
      <c r="A275" s="54" t="s">
        <v>1791</v>
      </c>
      <c r="B275" s="474" t="s">
        <v>1887</v>
      </c>
      <c r="C275" s="161"/>
      <c r="D275" s="183"/>
      <c r="E275" s="63"/>
      <c r="F275" s="63"/>
      <c r="G275" s="349"/>
      <c r="H275" s="24">
        <f>+H276</f>
        <v>4500</v>
      </c>
      <c r="I275" s="318">
        <v>3060</v>
      </c>
      <c r="J275" s="318">
        <f>+I275/H275*100</f>
        <v>68</v>
      </c>
    </row>
    <row r="276" spans="1:10" ht="42.75" customHeight="1" x14ac:dyDescent="0.2">
      <c r="A276" s="568" t="s">
        <v>1497</v>
      </c>
      <c r="B276" s="479" t="s">
        <v>1888</v>
      </c>
      <c r="C276" s="292" t="s">
        <v>40</v>
      </c>
      <c r="D276" s="183" t="s">
        <v>95</v>
      </c>
      <c r="E276" s="63">
        <v>16</v>
      </c>
      <c r="F276" s="63">
        <v>14</v>
      </c>
      <c r="G276" s="349">
        <f t="shared" si="16"/>
        <v>87.5</v>
      </c>
      <c r="H276" s="845">
        <v>4500</v>
      </c>
      <c r="I276" s="847">
        <v>3060</v>
      </c>
      <c r="J276" s="847">
        <v>68</v>
      </c>
    </row>
    <row r="277" spans="1:10" ht="39" customHeight="1" x14ac:dyDescent="0.2">
      <c r="A277" s="54" t="s">
        <v>1798</v>
      </c>
      <c r="B277" s="474" t="s">
        <v>1889</v>
      </c>
      <c r="C277" s="292"/>
      <c r="D277" s="183"/>
      <c r="E277" s="63"/>
      <c r="F277" s="63"/>
      <c r="G277" s="349"/>
      <c r="H277" s="24">
        <f>SUM(H278:H288)</f>
        <v>1500</v>
      </c>
      <c r="I277" s="318">
        <v>1020</v>
      </c>
      <c r="J277" s="318">
        <f>+I277/H277*100</f>
        <v>68</v>
      </c>
    </row>
    <row r="278" spans="1:10" ht="30.95" customHeight="1" x14ac:dyDescent="0.2">
      <c r="A278" s="542" t="s">
        <v>1800</v>
      </c>
      <c r="B278" s="479" t="s">
        <v>1890</v>
      </c>
      <c r="C278" s="292" t="s">
        <v>40</v>
      </c>
      <c r="D278" s="183" t="s">
        <v>573</v>
      </c>
      <c r="E278" s="63">
        <v>6</v>
      </c>
      <c r="F278" s="63">
        <v>64</v>
      </c>
      <c r="G278" s="349">
        <f t="shared" si="16"/>
        <v>1066.6666666666665</v>
      </c>
      <c r="H278" s="845">
        <v>300</v>
      </c>
      <c r="I278" s="847">
        <v>282</v>
      </c>
      <c r="J278" s="847">
        <v>94</v>
      </c>
    </row>
    <row r="279" spans="1:10" ht="30.95" customHeight="1" x14ac:dyDescent="0.2">
      <c r="A279" s="542" t="s">
        <v>1864</v>
      </c>
      <c r="B279" s="479" t="s">
        <v>1891</v>
      </c>
      <c r="C279" s="292" t="s">
        <v>40</v>
      </c>
      <c r="D279" s="183" t="s">
        <v>573</v>
      </c>
      <c r="E279" s="63">
        <v>2</v>
      </c>
      <c r="F279" s="63">
        <v>5</v>
      </c>
      <c r="G279" s="349">
        <f t="shared" si="16"/>
        <v>250</v>
      </c>
      <c r="H279" s="845">
        <v>200</v>
      </c>
      <c r="I279" s="847">
        <v>136</v>
      </c>
      <c r="J279" s="847">
        <v>68</v>
      </c>
    </row>
    <row r="280" spans="1:10" ht="21.75" customHeight="1" x14ac:dyDescent="0.2">
      <c r="A280" s="542" t="s">
        <v>1865</v>
      </c>
      <c r="B280" s="479" t="s">
        <v>1892</v>
      </c>
      <c r="C280" s="292" t="s">
        <v>40</v>
      </c>
      <c r="D280" s="183" t="s">
        <v>521</v>
      </c>
      <c r="E280" s="63">
        <v>1</v>
      </c>
      <c r="F280" s="63">
        <v>0</v>
      </c>
      <c r="G280" s="349">
        <f t="shared" si="16"/>
        <v>0</v>
      </c>
      <c r="H280" s="845">
        <v>50</v>
      </c>
      <c r="I280" s="847">
        <v>0</v>
      </c>
      <c r="J280" s="847">
        <v>0</v>
      </c>
    </row>
    <row r="281" spans="1:10" ht="24.75" customHeight="1" x14ac:dyDescent="0.2">
      <c r="A281" s="542" t="s">
        <v>1866</v>
      </c>
      <c r="B281" s="479" t="s">
        <v>1893</v>
      </c>
      <c r="C281" s="292" t="s">
        <v>40</v>
      </c>
      <c r="D281" s="183" t="s">
        <v>521</v>
      </c>
      <c r="E281" s="63">
        <v>1</v>
      </c>
      <c r="F281" s="63">
        <v>0</v>
      </c>
      <c r="G281" s="349">
        <f t="shared" si="16"/>
        <v>0</v>
      </c>
      <c r="H281" s="845">
        <v>50</v>
      </c>
      <c r="I281" s="847">
        <v>0</v>
      </c>
      <c r="J281" s="847">
        <v>0</v>
      </c>
    </row>
    <row r="282" spans="1:10" ht="21" customHeight="1" x14ac:dyDescent="0.2">
      <c r="A282" s="542" t="s">
        <v>1867</v>
      </c>
      <c r="B282" s="479" t="s">
        <v>1894</v>
      </c>
      <c r="C282" s="292" t="s">
        <v>40</v>
      </c>
      <c r="D282" s="183" t="s">
        <v>467</v>
      </c>
      <c r="E282" s="63">
        <v>12</v>
      </c>
      <c r="F282" s="63">
        <v>143</v>
      </c>
      <c r="G282" s="349">
        <f t="shared" si="16"/>
        <v>1191.6666666666665</v>
      </c>
      <c r="H282" s="845">
        <v>300</v>
      </c>
      <c r="I282" s="847">
        <v>300</v>
      </c>
      <c r="J282" s="847">
        <v>100</v>
      </c>
    </row>
    <row r="283" spans="1:10" ht="21" customHeight="1" x14ac:dyDescent="0.2">
      <c r="A283" s="542" t="s">
        <v>1868</v>
      </c>
      <c r="B283" s="479" t="s">
        <v>1895</v>
      </c>
      <c r="C283" s="292" t="s">
        <v>40</v>
      </c>
      <c r="D283" s="183" t="s">
        <v>467</v>
      </c>
      <c r="E283" s="63">
        <v>2</v>
      </c>
      <c r="F283" s="63">
        <v>0</v>
      </c>
      <c r="G283" s="349">
        <f t="shared" si="16"/>
        <v>0</v>
      </c>
      <c r="H283" s="845">
        <v>50</v>
      </c>
      <c r="I283" s="847">
        <v>0</v>
      </c>
      <c r="J283" s="847">
        <v>0</v>
      </c>
    </row>
    <row r="284" spans="1:10" ht="20.25" customHeight="1" x14ac:dyDescent="0.2">
      <c r="A284" s="542" t="s">
        <v>1869</v>
      </c>
      <c r="B284" s="479" t="s">
        <v>1896</v>
      </c>
      <c r="C284" s="292" t="s">
        <v>40</v>
      </c>
      <c r="D284" s="183" t="s">
        <v>573</v>
      </c>
      <c r="E284" s="63">
        <v>12</v>
      </c>
      <c r="F284" s="63">
        <v>5</v>
      </c>
      <c r="G284" s="349">
        <f t="shared" si="16"/>
        <v>41.666666666666671</v>
      </c>
      <c r="H284" s="845">
        <v>200</v>
      </c>
      <c r="I284" s="847">
        <v>200</v>
      </c>
      <c r="J284" s="847">
        <v>100</v>
      </c>
    </row>
    <row r="285" spans="1:10" ht="30.95" customHeight="1" x14ac:dyDescent="0.2">
      <c r="A285" s="542" t="s">
        <v>1870</v>
      </c>
      <c r="B285" s="479" t="s">
        <v>1897</v>
      </c>
      <c r="C285" s="292" t="s">
        <v>40</v>
      </c>
      <c r="D285" s="183" t="s">
        <v>573</v>
      </c>
      <c r="E285" s="63">
        <v>2</v>
      </c>
      <c r="F285" s="63">
        <v>0</v>
      </c>
      <c r="G285" s="349">
        <f t="shared" si="16"/>
        <v>0</v>
      </c>
      <c r="H285" s="845">
        <v>100</v>
      </c>
      <c r="I285" s="847">
        <v>0</v>
      </c>
      <c r="J285" s="847">
        <v>0</v>
      </c>
    </row>
    <row r="286" spans="1:10" ht="30.95" customHeight="1" x14ac:dyDescent="0.2">
      <c r="A286" s="542" t="s">
        <v>1871</v>
      </c>
      <c r="B286" s="479" t="s">
        <v>1898</v>
      </c>
      <c r="C286" s="292" t="s">
        <v>40</v>
      </c>
      <c r="D286" s="183" t="s">
        <v>521</v>
      </c>
      <c r="E286" s="63">
        <v>1</v>
      </c>
      <c r="F286" s="63">
        <v>0</v>
      </c>
      <c r="G286" s="349">
        <f t="shared" si="16"/>
        <v>0</v>
      </c>
      <c r="H286" s="845">
        <v>50</v>
      </c>
      <c r="I286" s="847">
        <v>0</v>
      </c>
      <c r="J286" s="847">
        <v>0</v>
      </c>
    </row>
    <row r="287" spans="1:10" ht="28.5" customHeight="1" x14ac:dyDescent="0.2">
      <c r="A287" s="542" t="s">
        <v>1872</v>
      </c>
      <c r="B287" s="479" t="s">
        <v>1899</v>
      </c>
      <c r="C287" s="292" t="s">
        <v>40</v>
      </c>
      <c r="D287" s="183" t="s">
        <v>521</v>
      </c>
      <c r="E287" s="63">
        <v>1</v>
      </c>
      <c r="F287" s="63">
        <v>0</v>
      </c>
      <c r="G287" s="349">
        <f t="shared" si="16"/>
        <v>0</v>
      </c>
      <c r="H287" s="845">
        <v>50</v>
      </c>
      <c r="I287" s="847">
        <v>0</v>
      </c>
      <c r="J287" s="847">
        <v>0</v>
      </c>
    </row>
    <row r="288" spans="1:10" ht="27.75" customHeight="1" x14ac:dyDescent="0.2">
      <c r="A288" s="542" t="s">
        <v>1873</v>
      </c>
      <c r="B288" s="479" t="s">
        <v>1900</v>
      </c>
      <c r="C288" s="292" t="s">
        <v>40</v>
      </c>
      <c r="D288" s="183" t="s">
        <v>220</v>
      </c>
      <c r="E288" s="63">
        <v>6</v>
      </c>
      <c r="F288" s="63">
        <v>10</v>
      </c>
      <c r="G288" s="349">
        <f t="shared" si="16"/>
        <v>166.66666666666669</v>
      </c>
      <c r="H288" s="845">
        <v>150</v>
      </c>
      <c r="I288" s="847">
        <v>102</v>
      </c>
      <c r="J288" s="847">
        <v>68</v>
      </c>
    </row>
    <row r="289" spans="1:10" ht="26.25" customHeight="1" x14ac:dyDescent="0.2">
      <c r="A289" s="54" t="s">
        <v>1874</v>
      </c>
      <c r="B289" s="474" t="s">
        <v>1901</v>
      </c>
      <c r="C289" s="292"/>
      <c r="D289" s="183"/>
      <c r="E289" s="63"/>
      <c r="F289" s="63"/>
      <c r="G289" s="349"/>
      <c r="H289" s="24">
        <f>SUM(H290:H294)</f>
        <v>12057</v>
      </c>
      <c r="I289" s="318">
        <f>SUM(I290:I294)</f>
        <v>8898.1899999999987</v>
      </c>
      <c r="J289" s="318">
        <f>+I289/H289*100</f>
        <v>73.801028448204349</v>
      </c>
    </row>
    <row r="290" spans="1:10" ht="30.95" customHeight="1" x14ac:dyDescent="0.2">
      <c r="A290" s="542" t="s">
        <v>1807</v>
      </c>
      <c r="B290" s="479" t="s">
        <v>1902</v>
      </c>
      <c r="C290" s="292" t="s">
        <v>40</v>
      </c>
      <c r="D290" s="183" t="s">
        <v>95</v>
      </c>
      <c r="E290" s="63">
        <v>7</v>
      </c>
      <c r="F290" s="63">
        <v>11</v>
      </c>
      <c r="G290" s="349">
        <f t="shared" si="16"/>
        <v>157.14285714285714</v>
      </c>
      <c r="H290" s="845">
        <v>3000</v>
      </c>
      <c r="I290" s="847">
        <v>3000</v>
      </c>
      <c r="J290" s="847">
        <v>100</v>
      </c>
    </row>
    <row r="291" spans="1:10" ht="21.75" customHeight="1" x14ac:dyDescent="0.2">
      <c r="A291" s="542" t="s">
        <v>1809</v>
      </c>
      <c r="B291" s="479" t="s">
        <v>1903</v>
      </c>
      <c r="C291" s="292" t="s">
        <v>40</v>
      </c>
      <c r="D291" s="183" t="s">
        <v>95</v>
      </c>
      <c r="E291" s="63">
        <v>6</v>
      </c>
      <c r="F291" s="63">
        <v>8</v>
      </c>
      <c r="G291" s="349">
        <f t="shared" si="16"/>
        <v>133.33333333333331</v>
      </c>
      <c r="H291" s="845">
        <v>3057</v>
      </c>
      <c r="I291" s="847">
        <v>3057</v>
      </c>
      <c r="J291" s="847">
        <v>100</v>
      </c>
    </row>
    <row r="292" spans="1:10" ht="21.75" customHeight="1" x14ac:dyDescent="0.2">
      <c r="A292" s="542" t="s">
        <v>578</v>
      </c>
      <c r="B292" s="479" t="s">
        <v>1875</v>
      </c>
      <c r="C292" s="292" t="s">
        <v>40</v>
      </c>
      <c r="D292" s="183" t="s">
        <v>222</v>
      </c>
      <c r="E292" s="63">
        <v>10</v>
      </c>
      <c r="F292" s="63">
        <v>31</v>
      </c>
      <c r="G292" s="349">
        <f t="shared" si="16"/>
        <v>310</v>
      </c>
      <c r="H292" s="845">
        <v>1000</v>
      </c>
      <c r="I292" s="847">
        <v>1000</v>
      </c>
      <c r="J292" s="847">
        <v>100</v>
      </c>
    </row>
    <row r="293" spans="1:10" ht="30.95" customHeight="1" x14ac:dyDescent="0.2">
      <c r="A293" s="542" t="s">
        <v>1812</v>
      </c>
      <c r="B293" s="479" t="s">
        <v>1904</v>
      </c>
      <c r="C293" s="292" t="s">
        <v>40</v>
      </c>
      <c r="D293" s="183" t="s">
        <v>467</v>
      </c>
      <c r="E293" s="63">
        <v>1</v>
      </c>
      <c r="F293" s="63">
        <v>0</v>
      </c>
      <c r="G293" s="349">
        <f t="shared" ref="G293:G302" si="17">+F293/E293*100</f>
        <v>0</v>
      </c>
      <c r="H293" s="845">
        <v>3000</v>
      </c>
      <c r="I293" s="847">
        <v>142.19</v>
      </c>
      <c r="J293" s="847">
        <v>5</v>
      </c>
    </row>
    <row r="294" spans="1:10" ht="22.5" customHeight="1" x14ac:dyDescent="0.2">
      <c r="A294" s="542" t="s">
        <v>1876</v>
      </c>
      <c r="B294" s="479" t="s">
        <v>1905</v>
      </c>
      <c r="C294" s="292" t="s">
        <v>40</v>
      </c>
      <c r="D294" s="183" t="s">
        <v>467</v>
      </c>
      <c r="E294" s="63">
        <v>4</v>
      </c>
      <c r="F294" s="63">
        <v>13</v>
      </c>
      <c r="G294" s="349">
        <f t="shared" si="17"/>
        <v>325</v>
      </c>
      <c r="H294" s="845">
        <v>2000</v>
      </c>
      <c r="I294" s="847">
        <v>1699</v>
      </c>
      <c r="J294" s="847">
        <v>85</v>
      </c>
    </row>
    <row r="295" spans="1:10" ht="22.5" customHeight="1" x14ac:dyDescent="0.2">
      <c r="A295" s="54" t="s">
        <v>1813</v>
      </c>
      <c r="B295" s="474" t="s">
        <v>1906</v>
      </c>
      <c r="C295" s="292"/>
      <c r="D295" s="183"/>
      <c r="E295" s="63"/>
      <c r="F295" s="63"/>
      <c r="G295" s="349"/>
      <c r="H295" s="24">
        <f>+H296</f>
        <v>1000</v>
      </c>
      <c r="I295" s="24">
        <f>+I296</f>
        <v>0</v>
      </c>
      <c r="J295" s="24">
        <f>+J296</f>
        <v>0</v>
      </c>
    </row>
    <row r="296" spans="1:10" ht="21.75" customHeight="1" x14ac:dyDescent="0.2">
      <c r="A296" s="542" t="s">
        <v>1503</v>
      </c>
      <c r="B296" s="479" t="s">
        <v>1907</v>
      </c>
      <c r="C296" s="292" t="s">
        <v>40</v>
      </c>
      <c r="D296" s="183" t="s">
        <v>1877</v>
      </c>
      <c r="E296" s="63">
        <v>1</v>
      </c>
      <c r="F296" s="63">
        <v>0</v>
      </c>
      <c r="G296" s="349">
        <f t="shared" si="17"/>
        <v>0</v>
      </c>
      <c r="H296" s="845">
        <v>1000</v>
      </c>
      <c r="I296" s="847">
        <v>0</v>
      </c>
      <c r="J296" s="847">
        <v>0</v>
      </c>
    </row>
    <row r="297" spans="1:10" ht="21" customHeight="1" x14ac:dyDescent="0.2">
      <c r="A297" s="54" t="s">
        <v>1822</v>
      </c>
      <c r="B297" s="474" t="s">
        <v>1908</v>
      </c>
      <c r="C297" s="292"/>
      <c r="D297" s="183"/>
      <c r="E297" s="63"/>
      <c r="F297" s="63"/>
      <c r="G297" s="349"/>
      <c r="H297" s="24">
        <f>+H298</f>
        <v>3000</v>
      </c>
      <c r="I297" s="318">
        <v>2040</v>
      </c>
      <c r="J297" s="318">
        <f>+I297/H297*100</f>
        <v>68</v>
      </c>
    </row>
    <row r="298" spans="1:10" ht="24.75" customHeight="1" x14ac:dyDescent="0.2">
      <c r="A298" s="542" t="s">
        <v>1824</v>
      </c>
      <c r="B298" s="479" t="s">
        <v>1909</v>
      </c>
      <c r="C298" s="292" t="s">
        <v>40</v>
      </c>
      <c r="D298" s="183" t="s">
        <v>52</v>
      </c>
      <c r="E298" s="63">
        <v>4</v>
      </c>
      <c r="F298" s="63">
        <v>22</v>
      </c>
      <c r="G298" s="349">
        <f t="shared" si="17"/>
        <v>550</v>
      </c>
      <c r="H298" s="845">
        <v>3000</v>
      </c>
      <c r="I298" s="847">
        <v>2040</v>
      </c>
      <c r="J298" s="847">
        <v>68</v>
      </c>
    </row>
    <row r="299" spans="1:10" ht="21" customHeight="1" x14ac:dyDescent="0.2">
      <c r="A299" s="54" t="s">
        <v>1878</v>
      </c>
      <c r="B299" s="474" t="s">
        <v>1850</v>
      </c>
      <c r="C299" s="292"/>
      <c r="D299" s="183"/>
      <c r="E299" s="63"/>
      <c r="F299" s="63"/>
      <c r="G299" s="349"/>
      <c r="H299" s="24">
        <f>+H300</f>
        <v>3500</v>
      </c>
      <c r="I299" s="318">
        <v>2380</v>
      </c>
      <c r="J299" s="318">
        <f>+I299/H299*100</f>
        <v>68</v>
      </c>
    </row>
    <row r="300" spans="1:10" ht="30" customHeight="1" x14ac:dyDescent="0.2">
      <c r="A300" s="542" t="s">
        <v>1835</v>
      </c>
      <c r="B300" s="479" t="s">
        <v>1852</v>
      </c>
      <c r="C300" s="292" t="s">
        <v>40</v>
      </c>
      <c r="D300" s="183" t="s">
        <v>52</v>
      </c>
      <c r="E300" s="63">
        <v>16</v>
      </c>
      <c r="F300" s="63">
        <v>25</v>
      </c>
      <c r="G300" s="349">
        <f t="shared" si="17"/>
        <v>156.25</v>
      </c>
      <c r="H300" s="845">
        <v>3500</v>
      </c>
      <c r="I300" s="847">
        <v>2380</v>
      </c>
      <c r="J300" s="847">
        <v>68</v>
      </c>
    </row>
    <row r="301" spans="1:10" ht="20.25" customHeight="1" x14ac:dyDescent="0.2">
      <c r="A301" s="391">
        <v>3</v>
      </c>
      <c r="B301" s="480" t="s">
        <v>580</v>
      </c>
      <c r="C301" s="481"/>
      <c r="D301" s="481"/>
      <c r="E301" s="900"/>
      <c r="F301" s="900"/>
      <c r="G301" s="349"/>
      <c r="H301" s="478">
        <f>+H302</f>
        <v>507545</v>
      </c>
      <c r="I301" s="393">
        <f>+I302</f>
        <v>519006.35</v>
      </c>
      <c r="J301" s="393">
        <f>+I301/H301*100</f>
        <v>102.2581938547321</v>
      </c>
    </row>
    <row r="302" spans="1:10" ht="27" customHeight="1" x14ac:dyDescent="0.2">
      <c r="A302" s="542">
        <v>1</v>
      </c>
      <c r="B302" s="479" t="s">
        <v>1955</v>
      </c>
      <c r="C302" s="292" t="s">
        <v>46</v>
      </c>
      <c r="D302" s="183" t="s">
        <v>52</v>
      </c>
      <c r="E302" s="63">
        <v>12</v>
      </c>
      <c r="F302" s="63">
        <v>12</v>
      </c>
      <c r="G302" s="349">
        <f t="shared" si="17"/>
        <v>100</v>
      </c>
      <c r="H302" s="845">
        <v>507545</v>
      </c>
      <c r="I302" s="847">
        <v>519006.35</v>
      </c>
      <c r="J302" s="318">
        <f>+I302/H302*100</f>
        <v>102.2581938547321</v>
      </c>
    </row>
    <row r="303" spans="1:10" ht="18.75" customHeight="1" x14ac:dyDescent="0.2">
      <c r="A303" s="340" t="s">
        <v>1025</v>
      </c>
      <c r="C303" s="161"/>
      <c r="D303" s="161"/>
      <c r="E303" s="63"/>
      <c r="F303" s="63"/>
      <c r="G303" s="349"/>
      <c r="H303" s="325">
        <f>SUM(H304:H309)</f>
        <v>749711</v>
      </c>
      <c r="I303" s="320">
        <f>SUM(I304:I309)</f>
        <v>632922.34000000008</v>
      </c>
      <c r="J303" s="320">
        <f>J304</f>
        <v>77.443653547075016</v>
      </c>
    </row>
    <row r="304" spans="1:10" ht="45" customHeight="1" x14ac:dyDescent="0.2">
      <c r="A304" s="955">
        <v>1</v>
      </c>
      <c r="B304" s="979" t="s">
        <v>1451</v>
      </c>
      <c r="C304" s="980" t="s">
        <v>170</v>
      </c>
      <c r="D304" s="164" t="s">
        <v>2144</v>
      </c>
      <c r="E304" s="63">
        <v>23</v>
      </c>
      <c r="F304" s="63">
        <v>17</v>
      </c>
      <c r="G304" s="527">
        <f>+F304*100/E304</f>
        <v>73.913043478260875</v>
      </c>
      <c r="H304" s="1019">
        <v>501540</v>
      </c>
      <c r="I304" s="1022">
        <v>388410.9</v>
      </c>
      <c r="J304" s="1016">
        <f>+I304*100/H304</f>
        <v>77.443653547075016</v>
      </c>
    </row>
    <row r="305" spans="1:10" ht="39" customHeight="1" x14ac:dyDescent="0.2">
      <c r="A305" s="955"/>
      <c r="B305" s="979"/>
      <c r="C305" s="980"/>
      <c r="D305" s="164" t="s">
        <v>2264</v>
      </c>
      <c r="E305" s="63">
        <v>1</v>
      </c>
      <c r="F305" s="63">
        <v>0.45</v>
      </c>
      <c r="G305" s="527">
        <f>+F305*100/E305</f>
        <v>45</v>
      </c>
      <c r="H305" s="1020"/>
      <c r="I305" s="1023"/>
      <c r="J305" s="1016"/>
    </row>
    <row r="306" spans="1:10" ht="68.25" customHeight="1" x14ac:dyDescent="0.2">
      <c r="A306" s="955"/>
      <c r="B306" s="979"/>
      <c r="C306" s="980"/>
      <c r="D306" s="164" t="s">
        <v>1452</v>
      </c>
      <c r="E306" s="63">
        <v>1</v>
      </c>
      <c r="F306" s="63">
        <v>0.23</v>
      </c>
      <c r="G306" s="527">
        <f>+F306*100/E306</f>
        <v>23</v>
      </c>
      <c r="H306" s="1020"/>
      <c r="I306" s="1023"/>
      <c r="J306" s="1016"/>
    </row>
    <row r="307" spans="1:10" ht="28.5" customHeight="1" x14ac:dyDescent="0.2">
      <c r="A307" s="955"/>
      <c r="B307" s="979"/>
      <c r="C307" s="980"/>
      <c r="D307" s="164" t="s">
        <v>1453</v>
      </c>
      <c r="E307" s="63">
        <v>2</v>
      </c>
      <c r="F307" s="63">
        <v>0.45</v>
      </c>
      <c r="G307" s="527">
        <f>+F307*100/E307</f>
        <v>22.5</v>
      </c>
      <c r="H307" s="1020"/>
      <c r="I307" s="1023"/>
      <c r="J307" s="1016"/>
    </row>
    <row r="308" spans="1:10" ht="25.5" customHeight="1" x14ac:dyDescent="0.2">
      <c r="A308" s="955"/>
      <c r="B308" s="979"/>
      <c r="C308" s="980"/>
      <c r="D308" s="164" t="s">
        <v>1454</v>
      </c>
      <c r="E308" s="63">
        <v>36</v>
      </c>
      <c r="F308" s="63">
        <v>12</v>
      </c>
      <c r="G308" s="527">
        <f>+F308*100/E308</f>
        <v>33.333333333333336</v>
      </c>
      <c r="H308" s="1021"/>
      <c r="I308" s="1024"/>
      <c r="J308" s="1016"/>
    </row>
    <row r="309" spans="1:10" ht="38.25" customHeight="1" x14ac:dyDescent="0.2">
      <c r="A309" s="43">
        <v>2</v>
      </c>
      <c r="B309" s="604" t="s">
        <v>1574</v>
      </c>
      <c r="C309" s="183" t="s">
        <v>170</v>
      </c>
      <c r="D309" s="161"/>
      <c r="E309" s="63"/>
      <c r="F309" s="63"/>
      <c r="G309" s="527"/>
      <c r="H309" s="615">
        <v>248171</v>
      </c>
      <c r="I309" s="863">
        <v>244511.44</v>
      </c>
      <c r="J309" s="273">
        <f>+I309/H309*100</f>
        <v>98.525387736681552</v>
      </c>
    </row>
    <row r="310" spans="1:10" ht="18.75" customHeight="1" x14ac:dyDescent="0.2">
      <c r="A310" s="3"/>
      <c r="C310" s="3"/>
      <c r="D310" s="3"/>
      <c r="E310" s="3"/>
      <c r="F310" s="3"/>
      <c r="G310" s="3"/>
    </row>
    <row r="311" spans="1:10" ht="30" customHeight="1" x14ac:dyDescent="0.2">
      <c r="A311" s="3"/>
      <c r="C311" s="3"/>
      <c r="D311" s="3"/>
      <c r="E311" s="3"/>
      <c r="F311" s="3"/>
      <c r="G311" s="3"/>
    </row>
    <row r="312" spans="1:10" ht="18.75" customHeight="1" x14ac:dyDescent="0.2">
      <c r="A312" s="3"/>
      <c r="C312" s="3"/>
      <c r="D312" s="3"/>
      <c r="E312" s="3"/>
      <c r="F312" s="3"/>
      <c r="G312" s="3"/>
    </row>
    <row r="313" spans="1:10" ht="42" customHeight="1" x14ac:dyDescent="0.2">
      <c r="A313" s="3"/>
      <c r="C313" s="3"/>
      <c r="D313" s="3"/>
      <c r="E313" s="3"/>
      <c r="F313" s="3"/>
      <c r="G313" s="3"/>
    </row>
    <row r="314" spans="1:10" ht="39" customHeight="1" x14ac:dyDescent="0.2">
      <c r="A314" s="3"/>
      <c r="C314" s="3"/>
      <c r="D314" s="3"/>
      <c r="E314" s="3"/>
      <c r="F314" s="3"/>
      <c r="G314" s="3"/>
    </row>
    <row r="315" spans="1:10" ht="30.75" customHeight="1" x14ac:dyDescent="0.2">
      <c r="A315" s="3"/>
      <c r="C315" s="3"/>
      <c r="D315" s="3"/>
      <c r="E315" s="3"/>
      <c r="F315" s="3"/>
      <c r="G315" s="3"/>
    </row>
    <row r="316" spans="1:10" ht="36.75" customHeight="1" x14ac:dyDescent="0.2">
      <c r="A316" s="3"/>
      <c r="C316" s="3"/>
      <c r="D316" s="3"/>
      <c r="E316" s="3"/>
      <c r="F316" s="3"/>
      <c r="G316" s="3"/>
    </row>
    <row r="317" spans="1:10" ht="39" customHeight="1" x14ac:dyDescent="0.2">
      <c r="A317" s="3"/>
      <c r="C317" s="3"/>
      <c r="D317" s="3"/>
      <c r="E317" s="3"/>
      <c r="F317" s="3"/>
      <c r="G317" s="3"/>
    </row>
    <row r="318" spans="1:10" x14ac:dyDescent="0.2">
      <c r="A318" s="3"/>
      <c r="C318" s="3"/>
      <c r="D318" s="3"/>
      <c r="E318" s="3"/>
      <c r="F318" s="3"/>
      <c r="G318" s="3"/>
    </row>
    <row r="319" spans="1:10" ht="42" customHeight="1" x14ac:dyDescent="0.2">
      <c r="A319" s="3"/>
      <c r="C319" s="3"/>
      <c r="D319" s="3"/>
      <c r="E319" s="3"/>
      <c r="F319" s="3"/>
      <c r="G319" s="3"/>
    </row>
    <row r="320" spans="1:10" ht="39.75" customHeight="1" x14ac:dyDescent="0.2">
      <c r="A320" s="3"/>
      <c r="C320" s="3"/>
      <c r="D320" s="3"/>
      <c r="E320" s="3"/>
      <c r="F320" s="3"/>
      <c r="G320" s="3"/>
    </row>
    <row r="321" spans="1:7" ht="40.5" customHeight="1" x14ac:dyDescent="0.2">
      <c r="A321" s="3"/>
      <c r="C321" s="3"/>
      <c r="D321" s="3"/>
      <c r="E321" s="3"/>
      <c r="F321" s="3"/>
      <c r="G321" s="3"/>
    </row>
    <row r="322" spans="1:7" x14ac:dyDescent="0.2">
      <c r="A322" s="3"/>
      <c r="C322" s="3"/>
      <c r="D322" s="3"/>
      <c r="E322" s="3"/>
      <c r="F322" s="3"/>
      <c r="G322" s="3"/>
    </row>
    <row r="323" spans="1:7" ht="39.75" customHeight="1" x14ac:dyDescent="0.2">
      <c r="A323" s="3"/>
      <c r="C323" s="3"/>
      <c r="D323" s="3"/>
      <c r="E323" s="3"/>
      <c r="F323" s="3"/>
      <c r="G323" s="3"/>
    </row>
    <row r="324" spans="1:7" ht="40.5" customHeight="1" x14ac:dyDescent="0.2">
      <c r="A324" s="3"/>
      <c r="C324" s="3"/>
      <c r="D324" s="3"/>
      <c r="E324" s="3"/>
      <c r="F324" s="3"/>
      <c r="G324" s="3"/>
    </row>
    <row r="325" spans="1:7" ht="28.5" customHeight="1" x14ac:dyDescent="0.2">
      <c r="A325" s="3"/>
      <c r="C325" s="3"/>
      <c r="D325" s="3"/>
      <c r="E325" s="3"/>
      <c r="F325" s="3"/>
      <c r="G325" s="3"/>
    </row>
    <row r="326" spans="1:7" ht="42" customHeight="1" x14ac:dyDescent="0.2">
      <c r="A326" s="3"/>
      <c r="C326" s="3"/>
      <c r="D326" s="3"/>
      <c r="E326" s="3"/>
      <c r="F326" s="3"/>
      <c r="G326" s="3"/>
    </row>
    <row r="327" spans="1:7" ht="43.5" customHeight="1" x14ac:dyDescent="0.2">
      <c r="A327" s="3"/>
      <c r="C327" s="3"/>
      <c r="D327" s="3"/>
      <c r="E327" s="3"/>
      <c r="F327" s="3"/>
      <c r="G327" s="3"/>
    </row>
    <row r="328" spans="1:7" ht="41.25" customHeight="1" x14ac:dyDescent="0.2">
      <c r="A328" s="3"/>
      <c r="C328" s="3"/>
      <c r="D328" s="3"/>
      <c r="E328" s="3"/>
      <c r="F328" s="3"/>
      <c r="G328" s="3"/>
    </row>
    <row r="329" spans="1:7" x14ac:dyDescent="0.2">
      <c r="A329" s="3"/>
      <c r="C329" s="3"/>
      <c r="D329" s="3"/>
      <c r="E329" s="3"/>
      <c r="F329" s="3"/>
      <c r="G329" s="3"/>
    </row>
    <row r="330" spans="1:7" ht="38.25" customHeight="1" x14ac:dyDescent="0.2">
      <c r="A330" s="3"/>
      <c r="C330" s="3"/>
      <c r="D330" s="3"/>
      <c r="E330" s="3"/>
      <c r="F330" s="3"/>
      <c r="G330" s="3"/>
    </row>
    <row r="331" spans="1:7" x14ac:dyDescent="0.2">
      <c r="A331" s="3"/>
      <c r="C331" s="3"/>
      <c r="D331" s="3"/>
      <c r="E331" s="3"/>
      <c r="F331" s="3"/>
      <c r="G331" s="3"/>
    </row>
    <row r="332" spans="1:7" x14ac:dyDescent="0.2">
      <c r="A332" s="3"/>
      <c r="C332" s="3"/>
      <c r="D332" s="3"/>
      <c r="E332" s="3"/>
      <c r="F332" s="3"/>
      <c r="G332" s="3"/>
    </row>
    <row r="333" spans="1:7" x14ac:dyDescent="0.2">
      <c r="A333" s="3"/>
      <c r="C333" s="3"/>
      <c r="D333" s="3"/>
      <c r="E333" s="3"/>
      <c r="F333" s="3"/>
      <c r="G333" s="3"/>
    </row>
    <row r="334" spans="1:7" ht="40.5" customHeight="1" x14ac:dyDescent="0.2">
      <c r="A334" s="3"/>
      <c r="C334" s="3"/>
      <c r="D334" s="3"/>
      <c r="E334" s="3"/>
      <c r="F334" s="3"/>
      <c r="G334" s="3"/>
    </row>
    <row r="335" spans="1:7" ht="30" customHeight="1" x14ac:dyDescent="0.2">
      <c r="A335" s="3"/>
      <c r="C335" s="3"/>
      <c r="D335" s="3"/>
      <c r="E335" s="3"/>
      <c r="F335" s="3"/>
      <c r="G335" s="3"/>
    </row>
    <row r="336" spans="1:7" ht="30" customHeight="1" x14ac:dyDescent="0.2">
      <c r="A336" s="3"/>
      <c r="C336" s="3"/>
      <c r="D336" s="3"/>
      <c r="E336" s="3"/>
      <c r="F336" s="3"/>
      <c r="G336" s="3"/>
    </row>
    <row r="337" spans="7:7" x14ac:dyDescent="0.2">
      <c r="G337" s="65"/>
    </row>
    <row r="338" spans="7:7" x14ac:dyDescent="0.2">
      <c r="G338" s="65"/>
    </row>
    <row r="339" spans="7:7" x14ac:dyDescent="0.2">
      <c r="G339" s="65"/>
    </row>
    <row r="340" spans="7:7" x14ac:dyDescent="0.2">
      <c r="G340" s="65"/>
    </row>
    <row r="341" spans="7:7" x14ac:dyDescent="0.2">
      <c r="G341" s="65"/>
    </row>
    <row r="342" spans="7:7" x14ac:dyDescent="0.2">
      <c r="G342" s="65"/>
    </row>
    <row r="343" spans="7:7" x14ac:dyDescent="0.2">
      <c r="G343" s="65"/>
    </row>
    <row r="344" spans="7:7" x14ac:dyDescent="0.2">
      <c r="G344" s="65"/>
    </row>
    <row r="345" spans="7:7" x14ac:dyDescent="0.2">
      <c r="G345" s="65"/>
    </row>
    <row r="346" spans="7:7" x14ac:dyDescent="0.2">
      <c r="G346" s="65"/>
    </row>
    <row r="347" spans="7:7" x14ac:dyDescent="0.2">
      <c r="G347" s="65"/>
    </row>
    <row r="348" spans="7:7" x14ac:dyDescent="0.2">
      <c r="G348" s="65"/>
    </row>
    <row r="349" spans="7:7" x14ac:dyDescent="0.2">
      <c r="G349" s="65"/>
    </row>
    <row r="350" spans="7:7" x14ac:dyDescent="0.2">
      <c r="G350" s="65"/>
    </row>
    <row r="351" spans="7:7" x14ac:dyDescent="0.2">
      <c r="G351" s="65"/>
    </row>
  </sheetData>
  <mergeCells count="101">
    <mergeCell ref="B149:B151"/>
    <mergeCell ref="C149:C151"/>
    <mergeCell ref="A152:A155"/>
    <mergeCell ref="B152:B155"/>
    <mergeCell ref="C152:C155"/>
    <mergeCell ref="A224:B224"/>
    <mergeCell ref="C201:C206"/>
    <mergeCell ref="C175:C178"/>
    <mergeCell ref="C185:C187"/>
    <mergeCell ref="A190:A193"/>
    <mergeCell ref="B190:B193"/>
    <mergeCell ref="C190:C193"/>
    <mergeCell ref="A179:A181"/>
    <mergeCell ref="B179:B181"/>
    <mergeCell ref="C179:C181"/>
    <mergeCell ref="C105:C106"/>
    <mergeCell ref="C72:C75"/>
    <mergeCell ref="A103:A104"/>
    <mergeCell ref="B103:B104"/>
    <mergeCell ref="A105:A106"/>
    <mergeCell ref="B105:B106"/>
    <mergeCell ref="A76:A77"/>
    <mergeCell ref="B87:B88"/>
    <mergeCell ref="C76:C77"/>
    <mergeCell ref="C84:C86"/>
    <mergeCell ref="C87:C88"/>
    <mergeCell ref="C103:C104"/>
    <mergeCell ref="C94:C95"/>
    <mergeCell ref="A97:A102"/>
    <mergeCell ref="B97:B102"/>
    <mergeCell ref="C92:C93"/>
    <mergeCell ref="J33:J35"/>
    <mergeCell ref="A33:A35"/>
    <mergeCell ref="H33:H35"/>
    <mergeCell ref="B33:B35"/>
    <mergeCell ref="C33:C35"/>
    <mergeCell ref="I33:I35"/>
    <mergeCell ref="C89:C91"/>
    <mergeCell ref="C98:C102"/>
    <mergeCell ref="B72:B75"/>
    <mergeCell ref="B76:B77"/>
    <mergeCell ref="A61:B61"/>
    <mergeCell ref="A94:A95"/>
    <mergeCell ref="B94:B95"/>
    <mergeCell ref="A92:A93"/>
    <mergeCell ref="B92:B93"/>
    <mergeCell ref="A84:A86"/>
    <mergeCell ref="B84:B86"/>
    <mergeCell ref="A87:A88"/>
    <mergeCell ref="A63:B63"/>
    <mergeCell ref="A72:A75"/>
    <mergeCell ref="A89:A91"/>
    <mergeCell ref="B89:B91"/>
    <mergeCell ref="C208:C209"/>
    <mergeCell ref="A201:A206"/>
    <mergeCell ref="A208:A209"/>
    <mergeCell ref="A185:A187"/>
    <mergeCell ref="B185:B187"/>
    <mergeCell ref="A175:A178"/>
    <mergeCell ref="B175:B178"/>
    <mergeCell ref="B208:B209"/>
    <mergeCell ref="C107:C113"/>
    <mergeCell ref="B147:B148"/>
    <mergeCell ref="C147:C148"/>
    <mergeCell ref="C140:C143"/>
    <mergeCell ref="A140:A143"/>
    <mergeCell ref="B140:B143"/>
    <mergeCell ref="A147:A148"/>
    <mergeCell ref="A107:A113"/>
    <mergeCell ref="B107:B113"/>
    <mergeCell ref="B164:B167"/>
    <mergeCell ref="A164:A167"/>
    <mergeCell ref="C164:C167"/>
    <mergeCell ref="A159:A162"/>
    <mergeCell ref="B159:B162"/>
    <mergeCell ref="C159:C162"/>
    <mergeCell ref="A149:A151"/>
    <mergeCell ref="A2:B2"/>
    <mergeCell ref="A5:A6"/>
    <mergeCell ref="B5:B6"/>
    <mergeCell ref="C5:C6"/>
    <mergeCell ref="J304:J308"/>
    <mergeCell ref="D5:G5"/>
    <mergeCell ref="H5:J5"/>
    <mergeCell ref="A3:J3"/>
    <mergeCell ref="A4:J4"/>
    <mergeCell ref="A226:B226"/>
    <mergeCell ref="A60:B60"/>
    <mergeCell ref="A7:B7"/>
    <mergeCell ref="A304:A308"/>
    <mergeCell ref="B304:B308"/>
    <mergeCell ref="C304:C308"/>
    <mergeCell ref="H304:H308"/>
    <mergeCell ref="I304:I308"/>
    <mergeCell ref="A168:A169"/>
    <mergeCell ref="B168:B169"/>
    <mergeCell ref="C168:C169"/>
    <mergeCell ref="B201:B206"/>
    <mergeCell ref="B198:B199"/>
    <mergeCell ref="C198:C199"/>
    <mergeCell ref="A198:A199"/>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rowBreaks count="5" manualBreakCount="5">
    <brk id="70" max="16383" man="1"/>
    <brk id="96" max="16383" man="1"/>
    <brk id="121" max="16383" man="1"/>
    <brk id="139" max="16383" man="1"/>
    <brk id="157" max="16383" man="1"/>
  </rowBreaks>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7" tint="0.79998168889431442"/>
  </sheetPr>
  <dimension ref="A2:J94"/>
  <sheetViews>
    <sheetView view="pageBreakPreview" topLeftCell="A10" zoomScale="60" zoomScaleNormal="100" workbookViewId="0">
      <selection activeCell="H27" sqref="H27"/>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0" ht="22.5" customHeight="1" x14ac:dyDescent="0.2">
      <c r="A2" s="982" t="s">
        <v>24</v>
      </c>
      <c r="B2" s="983"/>
      <c r="C2" s="1"/>
      <c r="D2" s="150"/>
      <c r="E2" s="269"/>
      <c r="F2" s="150"/>
      <c r="G2" s="150"/>
      <c r="H2" s="271"/>
      <c r="I2" s="271"/>
      <c r="J2" s="2"/>
    </row>
    <row r="3" spans="1:10" ht="30" customHeight="1" x14ac:dyDescent="0.2">
      <c r="A3" s="987" t="s">
        <v>6</v>
      </c>
      <c r="B3" s="988"/>
      <c r="C3" s="988"/>
      <c r="D3" s="988"/>
      <c r="E3" s="988"/>
      <c r="F3" s="988"/>
      <c r="G3" s="988"/>
      <c r="H3" s="988"/>
      <c r="I3" s="988"/>
      <c r="J3" s="989"/>
    </row>
    <row r="4" spans="1:10" ht="18" customHeight="1" x14ac:dyDescent="0.2">
      <c r="A4" s="987" t="s">
        <v>5</v>
      </c>
      <c r="B4" s="988"/>
      <c r="C4" s="988"/>
      <c r="D4" s="988"/>
      <c r="E4" s="988"/>
      <c r="F4" s="988"/>
      <c r="G4" s="988"/>
      <c r="H4" s="988"/>
      <c r="I4" s="988"/>
      <c r="J4" s="989"/>
    </row>
    <row r="5" spans="1:10" ht="18" customHeight="1" x14ac:dyDescent="0.2">
      <c r="A5" s="1007" t="s">
        <v>0</v>
      </c>
      <c r="B5" s="984" t="s">
        <v>1</v>
      </c>
      <c r="C5" s="984" t="s">
        <v>2</v>
      </c>
      <c r="D5" s="990" t="s">
        <v>1440</v>
      </c>
      <c r="E5" s="990"/>
      <c r="F5" s="990"/>
      <c r="G5" s="990"/>
      <c r="H5" s="990" t="s">
        <v>1441</v>
      </c>
      <c r="I5" s="990"/>
      <c r="J5" s="990"/>
    </row>
    <row r="6" spans="1:10" ht="24" customHeight="1" x14ac:dyDescent="0.2">
      <c r="A6" s="1008"/>
      <c r="B6" s="984"/>
      <c r="C6" s="984"/>
      <c r="D6" s="4" t="s">
        <v>3</v>
      </c>
      <c r="E6" s="4" t="s">
        <v>4</v>
      </c>
      <c r="F6" s="270" t="s">
        <v>1298</v>
      </c>
      <c r="G6" s="270" t="s">
        <v>1439</v>
      </c>
      <c r="H6" s="4" t="s">
        <v>1297</v>
      </c>
      <c r="I6" s="270" t="s">
        <v>1298</v>
      </c>
      <c r="J6" s="270" t="s">
        <v>1439</v>
      </c>
    </row>
    <row r="7" spans="1:10" ht="18.75" customHeight="1" x14ac:dyDescent="0.2">
      <c r="A7" s="1017" t="s">
        <v>608</v>
      </c>
      <c r="B7" s="1017"/>
      <c r="C7" s="80"/>
      <c r="D7" s="151"/>
      <c r="E7" s="81"/>
      <c r="F7" s="81"/>
      <c r="G7" s="81"/>
      <c r="H7" s="67">
        <f>+H8+H17</f>
        <v>855645</v>
      </c>
      <c r="I7" s="81">
        <f>+I8+I17</f>
        <v>825375</v>
      </c>
      <c r="J7" s="81">
        <v>110</v>
      </c>
    </row>
    <row r="8" spans="1:10" ht="18.75" customHeight="1" x14ac:dyDescent="0.2">
      <c r="A8" s="53">
        <v>1</v>
      </c>
      <c r="B8" s="35" t="s">
        <v>609</v>
      </c>
      <c r="C8" s="35"/>
      <c r="D8" s="168"/>
      <c r="E8" s="41"/>
      <c r="F8" s="486"/>
      <c r="G8" s="539"/>
      <c r="H8" s="41">
        <f>SUM(H9:H16)</f>
        <v>782556</v>
      </c>
      <c r="I8" s="306">
        <f>SUM(I9:I16)</f>
        <v>752286</v>
      </c>
      <c r="J8" s="306">
        <v>110</v>
      </c>
    </row>
    <row r="9" spans="1:10" ht="26.25" customHeight="1" x14ac:dyDescent="0.2">
      <c r="A9" s="542">
        <v>1.1000000000000001</v>
      </c>
      <c r="B9" s="19" t="s">
        <v>610</v>
      </c>
      <c r="C9" s="164" t="s">
        <v>46</v>
      </c>
      <c r="D9" s="607" t="s">
        <v>611</v>
      </c>
      <c r="E9" s="38">
        <v>1</v>
      </c>
      <c r="F9" s="390">
        <v>1</v>
      </c>
      <c r="G9" s="349">
        <v>100</v>
      </c>
      <c r="H9" s="38">
        <v>36000</v>
      </c>
      <c r="I9" s="277">
        <v>36000</v>
      </c>
      <c r="J9" s="277">
        <v>100</v>
      </c>
    </row>
    <row r="10" spans="1:10" ht="32.25" customHeight="1" x14ac:dyDescent="0.2">
      <c r="A10" s="542">
        <v>1.2</v>
      </c>
      <c r="B10" s="19" t="s">
        <v>612</v>
      </c>
      <c r="C10" s="164" t="s">
        <v>40</v>
      </c>
      <c r="D10" s="607" t="s">
        <v>613</v>
      </c>
      <c r="E10" s="38">
        <v>12</v>
      </c>
      <c r="F10" s="390">
        <v>22</v>
      </c>
      <c r="G10" s="349">
        <v>100</v>
      </c>
      <c r="H10" s="38">
        <v>64236</v>
      </c>
      <c r="I10" s="277">
        <v>64236</v>
      </c>
      <c r="J10" s="277">
        <v>100</v>
      </c>
    </row>
    <row r="11" spans="1:10" ht="32.25" customHeight="1" x14ac:dyDescent="0.2">
      <c r="A11" s="542">
        <v>1.3</v>
      </c>
      <c r="B11" s="19" t="s">
        <v>1031</v>
      </c>
      <c r="C11" s="164" t="s">
        <v>46</v>
      </c>
      <c r="D11" s="607" t="s">
        <v>614</v>
      </c>
      <c r="E11" s="38">
        <v>12</v>
      </c>
      <c r="F11" s="390">
        <v>12</v>
      </c>
      <c r="G11" s="349">
        <v>100</v>
      </c>
      <c r="H11" s="38">
        <v>67500</v>
      </c>
      <c r="I11" s="277">
        <v>67500</v>
      </c>
      <c r="J11" s="277">
        <v>100</v>
      </c>
    </row>
    <row r="12" spans="1:10" ht="23.25" customHeight="1" x14ac:dyDescent="0.2">
      <c r="A12" s="542">
        <v>1.4</v>
      </c>
      <c r="B12" s="19" t="s">
        <v>615</v>
      </c>
      <c r="C12" s="164" t="s">
        <v>40</v>
      </c>
      <c r="D12" s="607" t="s">
        <v>566</v>
      </c>
      <c r="E12" s="38">
        <v>520</v>
      </c>
      <c r="F12" s="390">
        <v>707</v>
      </c>
      <c r="G12" s="349">
        <v>100</v>
      </c>
      <c r="H12" s="38">
        <v>107000</v>
      </c>
      <c r="I12" s="277">
        <v>107000</v>
      </c>
      <c r="J12" s="277">
        <v>100</v>
      </c>
    </row>
    <row r="13" spans="1:10" ht="27.75" customHeight="1" x14ac:dyDescent="0.2">
      <c r="A13" s="542">
        <v>1.5</v>
      </c>
      <c r="B13" s="19" t="s">
        <v>616</v>
      </c>
      <c r="C13" s="164" t="s">
        <v>46</v>
      </c>
      <c r="D13" s="607" t="s">
        <v>493</v>
      </c>
      <c r="E13" s="38">
        <v>6</v>
      </c>
      <c r="F13" s="390">
        <v>6</v>
      </c>
      <c r="G13" s="349">
        <v>100</v>
      </c>
      <c r="H13" s="38">
        <v>36700</v>
      </c>
      <c r="I13" s="277">
        <v>36700</v>
      </c>
      <c r="J13" s="277">
        <v>100</v>
      </c>
    </row>
    <row r="14" spans="1:10" ht="40.5" customHeight="1" x14ac:dyDescent="0.2">
      <c r="A14" s="542">
        <v>1.6</v>
      </c>
      <c r="B14" s="19" t="s">
        <v>617</v>
      </c>
      <c r="C14" s="164" t="s">
        <v>46</v>
      </c>
      <c r="D14" s="607" t="s">
        <v>431</v>
      </c>
      <c r="E14" s="38">
        <v>5</v>
      </c>
      <c r="F14" s="390">
        <v>5</v>
      </c>
      <c r="G14" s="349">
        <v>100</v>
      </c>
      <c r="H14" s="38">
        <v>232972</v>
      </c>
      <c r="I14" s="277">
        <v>202702</v>
      </c>
      <c r="J14" s="277">
        <v>143</v>
      </c>
    </row>
    <row r="15" spans="1:10" ht="40.5" customHeight="1" x14ac:dyDescent="0.2">
      <c r="A15" s="542">
        <v>1.7</v>
      </c>
      <c r="B15" s="19" t="s">
        <v>1032</v>
      </c>
      <c r="C15" s="164" t="s">
        <v>40</v>
      </c>
      <c r="D15" s="607" t="s">
        <v>618</v>
      </c>
      <c r="E15" s="38">
        <v>1</v>
      </c>
      <c r="F15" s="390">
        <v>1</v>
      </c>
      <c r="G15" s="349">
        <v>100</v>
      </c>
      <c r="H15" s="38">
        <v>60700</v>
      </c>
      <c r="I15" s="277">
        <v>60700</v>
      </c>
      <c r="J15" s="277">
        <v>100</v>
      </c>
    </row>
    <row r="16" spans="1:10" ht="65.25" customHeight="1" x14ac:dyDescent="0.2">
      <c r="A16" s="542">
        <v>1.8</v>
      </c>
      <c r="B16" s="19" t="s">
        <v>619</v>
      </c>
      <c r="C16" s="164" t="s">
        <v>40</v>
      </c>
      <c r="D16" s="607" t="s">
        <v>614</v>
      </c>
      <c r="E16" s="38">
        <v>30</v>
      </c>
      <c r="F16" s="390">
        <v>40</v>
      </c>
      <c r="G16" s="349">
        <v>100</v>
      </c>
      <c r="H16" s="38">
        <v>177448</v>
      </c>
      <c r="I16" s="277">
        <v>177448</v>
      </c>
      <c r="J16" s="277">
        <v>100</v>
      </c>
    </row>
    <row r="17" spans="1:10" ht="28.5" customHeight="1" x14ac:dyDescent="0.2">
      <c r="A17" s="391">
        <v>2</v>
      </c>
      <c r="B17" s="35" t="s">
        <v>620</v>
      </c>
      <c r="C17" s="168"/>
      <c r="D17" s="168"/>
      <c r="E17" s="486"/>
      <c r="F17" s="486"/>
      <c r="G17" s="539"/>
      <c r="H17" s="41">
        <f>SUM(H18:H20)</f>
        <v>73089</v>
      </c>
      <c r="I17" s="306">
        <f>SUM(I18:I20)</f>
        <v>73089</v>
      </c>
      <c r="J17" s="306">
        <v>100</v>
      </c>
    </row>
    <row r="18" spans="1:10" ht="21" customHeight="1" x14ac:dyDescent="0.2">
      <c r="A18" s="542">
        <v>2.1</v>
      </c>
      <c r="B18" s="19" t="s">
        <v>621</v>
      </c>
      <c r="C18" s="164" t="s">
        <v>40</v>
      </c>
      <c r="D18" s="607" t="s">
        <v>493</v>
      </c>
      <c r="E18" s="38">
        <v>4</v>
      </c>
      <c r="F18" s="390">
        <v>4</v>
      </c>
      <c r="G18" s="349">
        <v>100</v>
      </c>
      <c r="H18" s="38">
        <v>17800</v>
      </c>
      <c r="I18" s="277">
        <v>17800</v>
      </c>
      <c r="J18" s="277">
        <v>100</v>
      </c>
    </row>
    <row r="19" spans="1:10" ht="28.5" customHeight="1" x14ac:dyDescent="0.2">
      <c r="A19" s="542">
        <v>2.2000000000000002</v>
      </c>
      <c r="B19" s="19" t="s">
        <v>622</v>
      </c>
      <c r="C19" s="164" t="s">
        <v>40</v>
      </c>
      <c r="D19" s="607" t="s">
        <v>614</v>
      </c>
      <c r="E19" s="38">
        <v>20</v>
      </c>
      <c r="F19" s="390">
        <v>38</v>
      </c>
      <c r="G19" s="349">
        <v>100</v>
      </c>
      <c r="H19" s="38">
        <v>19200</v>
      </c>
      <c r="I19" s="277">
        <v>19200</v>
      </c>
      <c r="J19" s="277">
        <v>100</v>
      </c>
    </row>
    <row r="20" spans="1:10" ht="57" customHeight="1" x14ac:dyDescent="0.2">
      <c r="A20" s="542">
        <v>2.2999999999999998</v>
      </c>
      <c r="B20" s="19" t="s">
        <v>623</v>
      </c>
      <c r="C20" s="164" t="s">
        <v>40</v>
      </c>
      <c r="D20" s="607" t="s">
        <v>614</v>
      </c>
      <c r="E20" s="38">
        <v>10</v>
      </c>
      <c r="F20" s="390">
        <v>11</v>
      </c>
      <c r="G20" s="349">
        <v>110</v>
      </c>
      <c r="H20" s="38">
        <f>37000-911</f>
        <v>36089</v>
      </c>
      <c r="I20" s="277">
        <v>36089</v>
      </c>
      <c r="J20" s="277">
        <v>100</v>
      </c>
    </row>
    <row r="21" spans="1:10" ht="18.75" customHeight="1" x14ac:dyDescent="0.2">
      <c r="A21" s="340" t="s">
        <v>1030</v>
      </c>
      <c r="B21" s="465"/>
      <c r="C21" s="13"/>
      <c r="D21" s="161"/>
      <c r="E21" s="63"/>
      <c r="F21" s="63"/>
      <c r="G21" s="63"/>
      <c r="H21" s="325">
        <f>+H22</f>
        <v>511914</v>
      </c>
      <c r="I21" s="320">
        <f>+I22</f>
        <v>507667.79</v>
      </c>
      <c r="J21" s="320">
        <f>+J22</f>
        <v>99.170522783123729</v>
      </c>
    </row>
    <row r="22" spans="1:10" ht="69" customHeight="1" x14ac:dyDescent="0.2">
      <c r="A22" s="1033">
        <v>1</v>
      </c>
      <c r="B22" s="1063" t="s">
        <v>1575</v>
      </c>
      <c r="C22" s="980" t="s">
        <v>170</v>
      </c>
      <c r="D22" s="164" t="s">
        <v>1577</v>
      </c>
      <c r="E22" s="63">
        <v>1</v>
      </c>
      <c r="F22" s="636">
        <v>0.3</v>
      </c>
      <c r="G22" s="304">
        <f>+F22*100/E22</f>
        <v>30</v>
      </c>
      <c r="H22" s="967">
        <v>511914</v>
      </c>
      <c r="I22" s="1006">
        <v>507667.79</v>
      </c>
      <c r="J22" s="1006">
        <f>+I22*100/H22</f>
        <v>99.170522783123729</v>
      </c>
    </row>
    <row r="23" spans="1:10" ht="25.5" customHeight="1" x14ac:dyDescent="0.2">
      <c r="A23" s="1033"/>
      <c r="B23" s="1064"/>
      <c r="C23" s="980"/>
      <c r="D23" s="688" t="s">
        <v>624</v>
      </c>
      <c r="E23" s="63">
        <v>1</v>
      </c>
      <c r="F23" s="636">
        <v>0.85</v>
      </c>
      <c r="G23" s="304">
        <f>+F23*100/E23</f>
        <v>85</v>
      </c>
      <c r="H23" s="968"/>
      <c r="I23" s="1006"/>
      <c r="J23" s="1006"/>
    </row>
    <row r="24" spans="1:10" ht="39" customHeight="1" x14ac:dyDescent="0.2">
      <c r="A24" s="1033"/>
      <c r="B24" s="1064"/>
      <c r="C24" s="980"/>
      <c r="D24" s="688" t="s">
        <v>625</v>
      </c>
      <c r="E24" s="63">
        <v>15</v>
      </c>
      <c r="F24" s="636">
        <v>11</v>
      </c>
      <c r="G24" s="304">
        <f>+F24*100/E24</f>
        <v>73.333333333333329</v>
      </c>
      <c r="H24" s="968"/>
      <c r="I24" s="1006"/>
      <c r="J24" s="1006"/>
    </row>
    <row r="25" spans="1:10" ht="64.5" customHeight="1" x14ac:dyDescent="0.2">
      <c r="A25" s="1033"/>
      <c r="B25" s="1064"/>
      <c r="C25" s="980"/>
      <c r="D25" s="688" t="s">
        <v>1450</v>
      </c>
      <c r="E25" s="63">
        <v>5</v>
      </c>
      <c r="F25" s="636">
        <v>1</v>
      </c>
      <c r="G25" s="304">
        <f>+F25*100/E25</f>
        <v>20</v>
      </c>
      <c r="H25" s="968"/>
      <c r="I25" s="1006"/>
      <c r="J25" s="1006"/>
    </row>
    <row r="26" spans="1:10" ht="29.25" customHeight="1" x14ac:dyDescent="0.2">
      <c r="A26" s="1033"/>
      <c r="B26" s="1065"/>
      <c r="C26" s="980"/>
      <c r="D26" s="164" t="s">
        <v>1576</v>
      </c>
      <c r="E26" s="63">
        <v>77</v>
      </c>
      <c r="F26" s="636">
        <v>77</v>
      </c>
      <c r="G26" s="304">
        <f>+F26*100/E26</f>
        <v>100</v>
      </c>
      <c r="H26" s="969"/>
      <c r="I26" s="1006"/>
      <c r="J26" s="1006"/>
    </row>
    <row r="27" spans="1:10" ht="18.75" customHeight="1" x14ac:dyDescent="0.2">
      <c r="A27" s="13"/>
      <c r="B27" s="340" t="s">
        <v>2294</v>
      </c>
      <c r="C27" s="13"/>
      <c r="D27" s="161"/>
      <c r="E27" s="63"/>
      <c r="F27" s="63"/>
      <c r="G27" s="63"/>
      <c r="H27" s="689">
        <f>SUM(H28:H30)</f>
        <v>212870</v>
      </c>
      <c r="I27" s="689">
        <f>SUM(I28:I30)</f>
        <v>0</v>
      </c>
      <c r="J27" s="63"/>
    </row>
    <row r="28" spans="1:10" ht="31.5" customHeight="1" x14ac:dyDescent="0.2">
      <c r="A28" s="485">
        <v>1</v>
      </c>
      <c r="B28" s="604" t="s">
        <v>1523</v>
      </c>
      <c r="C28" s="183" t="s">
        <v>1185</v>
      </c>
      <c r="D28" s="164" t="s">
        <v>64</v>
      </c>
      <c r="E28" s="63">
        <v>1</v>
      </c>
      <c r="F28" s="63">
        <v>0</v>
      </c>
      <c r="G28" s="304">
        <f>+F28*100/E28</f>
        <v>0</v>
      </c>
      <c r="H28" s="615">
        <v>11070</v>
      </c>
      <c r="I28" s="63">
        <v>0</v>
      </c>
      <c r="J28" s="879">
        <f>+I28/H28*100</f>
        <v>0</v>
      </c>
    </row>
    <row r="29" spans="1:10" ht="41.25" customHeight="1" x14ac:dyDescent="0.2">
      <c r="A29" s="13">
        <v>2</v>
      </c>
      <c r="B29" s="604" t="s">
        <v>1524</v>
      </c>
      <c r="C29" s="183" t="s">
        <v>631</v>
      </c>
      <c r="D29" s="164" t="s">
        <v>64</v>
      </c>
      <c r="E29" s="63"/>
      <c r="F29" s="63"/>
      <c r="G29" s="63"/>
      <c r="H29" s="615">
        <v>76800</v>
      </c>
      <c r="I29" s="63">
        <v>0</v>
      </c>
      <c r="J29" s="879">
        <f>+I29/H29*100</f>
        <v>0</v>
      </c>
    </row>
    <row r="30" spans="1:10" ht="42" customHeight="1" x14ac:dyDescent="0.2">
      <c r="A30" s="485">
        <v>3</v>
      </c>
      <c r="B30" s="19" t="s">
        <v>1525</v>
      </c>
      <c r="C30" s="183" t="s">
        <v>46</v>
      </c>
      <c r="D30" s="164" t="s">
        <v>64</v>
      </c>
      <c r="E30" s="63"/>
      <c r="F30" s="63"/>
      <c r="G30" s="63"/>
      <c r="H30" s="615">
        <v>125000</v>
      </c>
      <c r="I30" s="63">
        <v>0</v>
      </c>
      <c r="J30" s="879">
        <f>+I30/H30*100</f>
        <v>0</v>
      </c>
    </row>
    <row r="31" spans="1:10" x14ac:dyDescent="0.2">
      <c r="A31" s="3"/>
      <c r="C31" s="3"/>
      <c r="E31" s="867"/>
      <c r="F31" s="867"/>
      <c r="G31" s="867"/>
      <c r="H31" s="867"/>
      <c r="I31" s="867"/>
      <c r="J31" s="867"/>
    </row>
    <row r="32" spans="1:10" x14ac:dyDescent="0.2">
      <c r="A32" s="3"/>
      <c r="C32" s="3"/>
      <c r="E32" s="867"/>
      <c r="F32" s="867"/>
      <c r="G32" s="867"/>
      <c r="H32" s="867"/>
      <c r="I32" s="867"/>
      <c r="J32" s="867"/>
    </row>
    <row r="33" spans="1:10" x14ac:dyDescent="0.2">
      <c r="A33" s="3"/>
      <c r="C33" s="3"/>
      <c r="E33" s="867"/>
      <c r="F33" s="867"/>
      <c r="G33" s="867"/>
      <c r="H33" s="867"/>
      <c r="I33" s="867"/>
      <c r="J33" s="867"/>
    </row>
    <row r="34" spans="1:10" x14ac:dyDescent="0.2">
      <c r="A34" s="3"/>
      <c r="C34" s="3"/>
      <c r="E34" s="867"/>
      <c r="F34" s="867"/>
      <c r="G34" s="867"/>
      <c r="H34" s="867"/>
      <c r="I34" s="867"/>
      <c r="J34" s="867"/>
    </row>
    <row r="35" spans="1:10" x14ac:dyDescent="0.2">
      <c r="A35" s="3"/>
      <c r="C35" s="3"/>
      <c r="E35" s="867"/>
      <c r="F35" s="867"/>
      <c r="G35" s="867"/>
      <c r="H35" s="867"/>
      <c r="I35" s="867"/>
      <c r="J35" s="867"/>
    </row>
    <row r="36" spans="1:10" x14ac:dyDescent="0.2">
      <c r="A36" s="3"/>
      <c r="C36" s="3"/>
      <c r="E36" s="867"/>
      <c r="F36" s="867"/>
      <c r="G36" s="867"/>
      <c r="H36" s="867"/>
      <c r="I36" s="867"/>
      <c r="J36" s="867"/>
    </row>
    <row r="37" spans="1:10" x14ac:dyDescent="0.2">
      <c r="A37" s="3"/>
      <c r="C37" s="3"/>
      <c r="E37" s="867"/>
      <c r="F37" s="867"/>
      <c r="G37" s="867"/>
      <c r="H37" s="867"/>
      <c r="I37" s="867"/>
      <c r="J37" s="867"/>
    </row>
    <row r="38" spans="1:10" x14ac:dyDescent="0.2">
      <c r="A38" s="3"/>
      <c r="C38" s="3"/>
      <c r="E38" s="867"/>
      <c r="F38" s="867"/>
      <c r="G38" s="867"/>
      <c r="H38" s="867"/>
      <c r="I38" s="867"/>
      <c r="J38" s="867"/>
    </row>
    <row r="39" spans="1:10" x14ac:dyDescent="0.2">
      <c r="A39" s="3"/>
      <c r="C39" s="3"/>
      <c r="E39" s="867"/>
      <c r="F39" s="867"/>
      <c r="G39" s="867"/>
      <c r="H39" s="867"/>
      <c r="I39" s="867"/>
      <c r="J39" s="867"/>
    </row>
    <row r="40" spans="1:10" x14ac:dyDescent="0.2">
      <c r="A40" s="3"/>
      <c r="C40" s="3"/>
      <c r="E40" s="867"/>
      <c r="F40" s="867"/>
      <c r="G40" s="867"/>
      <c r="H40" s="867"/>
      <c r="I40" s="867"/>
      <c r="J40" s="867"/>
    </row>
    <row r="41" spans="1:10" x14ac:dyDescent="0.2">
      <c r="A41" s="3"/>
      <c r="C41" s="3"/>
      <c r="E41" s="3"/>
    </row>
    <row r="42" spans="1:10" x14ac:dyDescent="0.2">
      <c r="A42" s="3"/>
      <c r="C42" s="3"/>
      <c r="E42" s="3"/>
    </row>
    <row r="43" spans="1:10" x14ac:dyDescent="0.2">
      <c r="A43" s="3"/>
      <c r="C43" s="3"/>
      <c r="E43" s="3"/>
    </row>
    <row r="44" spans="1:10" x14ac:dyDescent="0.2">
      <c r="A44" s="3"/>
      <c r="C44" s="3"/>
      <c r="E44" s="3"/>
    </row>
    <row r="45" spans="1:10" x14ac:dyDescent="0.2">
      <c r="A45" s="3"/>
      <c r="C45" s="3"/>
      <c r="E45" s="3"/>
    </row>
    <row r="46" spans="1:10" x14ac:dyDescent="0.2">
      <c r="A46" s="3"/>
      <c r="C46" s="3"/>
      <c r="E46" s="3"/>
    </row>
    <row r="47" spans="1:10" x14ac:dyDescent="0.2">
      <c r="A47" s="3"/>
      <c r="C47" s="3"/>
      <c r="E47" s="3"/>
    </row>
    <row r="48" spans="1:10" x14ac:dyDescent="0.2">
      <c r="A48" s="3"/>
      <c r="C48" s="3"/>
      <c r="E48" s="3"/>
    </row>
    <row r="49" spans="1:5" x14ac:dyDescent="0.2">
      <c r="A49" s="3"/>
      <c r="C49" s="3"/>
      <c r="E49" s="3"/>
    </row>
    <row r="50" spans="1:5" x14ac:dyDescent="0.2">
      <c r="A50" s="3"/>
      <c r="C50" s="3"/>
      <c r="E50" s="3"/>
    </row>
    <row r="51" spans="1:5" x14ac:dyDescent="0.2">
      <c r="A51" s="3"/>
      <c r="C51" s="3"/>
      <c r="E51" s="3"/>
    </row>
    <row r="52" spans="1:5" x14ac:dyDescent="0.2">
      <c r="A52" s="3"/>
      <c r="C52" s="3"/>
      <c r="E52" s="3"/>
    </row>
    <row r="53" spans="1:5" x14ac:dyDescent="0.2">
      <c r="A53" s="3"/>
      <c r="C53" s="3"/>
      <c r="E53" s="3"/>
    </row>
    <row r="54" spans="1:5" x14ac:dyDescent="0.2">
      <c r="A54" s="3"/>
      <c r="C54" s="3"/>
      <c r="E54" s="3"/>
    </row>
    <row r="55" spans="1:5" x14ac:dyDescent="0.2">
      <c r="A55" s="3"/>
      <c r="C55" s="3"/>
      <c r="E55" s="3"/>
    </row>
    <row r="56" spans="1:5" x14ac:dyDescent="0.2">
      <c r="A56" s="3"/>
      <c r="C56" s="3"/>
      <c r="E56" s="3"/>
    </row>
    <row r="57" spans="1:5" x14ac:dyDescent="0.2">
      <c r="A57" s="3"/>
      <c r="C57" s="3"/>
      <c r="E57" s="3"/>
    </row>
    <row r="58" spans="1:5" x14ac:dyDescent="0.2">
      <c r="A58" s="3"/>
      <c r="C58" s="3"/>
      <c r="E58" s="3"/>
    </row>
    <row r="59" spans="1:5" x14ac:dyDescent="0.2">
      <c r="A59" s="3"/>
      <c r="C59" s="3"/>
      <c r="E59" s="3"/>
    </row>
    <row r="60" spans="1:5" x14ac:dyDescent="0.2">
      <c r="A60" s="3"/>
      <c r="C60" s="3"/>
      <c r="E60" s="3"/>
    </row>
    <row r="61" spans="1:5" x14ac:dyDescent="0.2">
      <c r="A61" s="3"/>
      <c r="C61" s="3"/>
      <c r="E61" s="3"/>
    </row>
    <row r="62" spans="1:5" x14ac:dyDescent="0.2">
      <c r="A62" s="3"/>
      <c r="C62" s="3"/>
      <c r="E62" s="3"/>
    </row>
    <row r="63" spans="1:5" x14ac:dyDescent="0.2">
      <c r="A63" s="3"/>
      <c r="C63" s="3"/>
      <c r="E63" s="3"/>
    </row>
    <row r="64" spans="1:5" x14ac:dyDescent="0.2">
      <c r="A64" s="3"/>
      <c r="C64" s="3"/>
      <c r="E64" s="3"/>
    </row>
    <row r="65" spans="1:5" x14ac:dyDescent="0.2">
      <c r="A65" s="3"/>
      <c r="C65" s="3"/>
      <c r="E65" s="3"/>
    </row>
    <row r="66" spans="1:5" x14ac:dyDescent="0.2">
      <c r="A66" s="3"/>
      <c r="C66" s="3"/>
      <c r="E66" s="3"/>
    </row>
    <row r="67" spans="1:5" x14ac:dyDescent="0.2">
      <c r="A67" s="3"/>
      <c r="C67" s="3"/>
      <c r="E67" s="3"/>
    </row>
    <row r="68" spans="1:5" x14ac:dyDescent="0.2">
      <c r="A68" s="3"/>
      <c r="C68" s="3"/>
      <c r="E68" s="3"/>
    </row>
    <row r="69" spans="1:5" x14ac:dyDescent="0.2">
      <c r="A69" s="3"/>
      <c r="C69" s="3"/>
      <c r="E69" s="3"/>
    </row>
    <row r="70" spans="1:5" x14ac:dyDescent="0.2">
      <c r="A70" s="3"/>
      <c r="C70" s="3"/>
      <c r="E70" s="3"/>
    </row>
    <row r="71" spans="1:5" x14ac:dyDescent="0.2">
      <c r="A71" s="3"/>
      <c r="C71" s="3"/>
      <c r="E71" s="3"/>
    </row>
    <row r="72" spans="1:5" x14ac:dyDescent="0.2">
      <c r="A72" s="3"/>
      <c r="C72" s="3"/>
      <c r="E72" s="3"/>
    </row>
    <row r="73" spans="1:5" x14ac:dyDescent="0.2">
      <c r="A73" s="3"/>
      <c r="C73" s="3"/>
      <c r="E73" s="3"/>
    </row>
    <row r="74" spans="1:5" x14ac:dyDescent="0.2">
      <c r="A74" s="3"/>
      <c r="C74" s="3"/>
      <c r="E74" s="3"/>
    </row>
    <row r="75" spans="1:5" x14ac:dyDescent="0.2">
      <c r="A75" s="3"/>
      <c r="C75" s="3"/>
      <c r="E75" s="3"/>
    </row>
    <row r="76" spans="1:5" x14ac:dyDescent="0.2">
      <c r="A76" s="3"/>
      <c r="C76" s="3"/>
      <c r="E76" s="3"/>
    </row>
    <row r="77" spans="1:5" x14ac:dyDescent="0.2">
      <c r="A77" s="3"/>
      <c r="C77" s="3"/>
      <c r="E77" s="3"/>
    </row>
    <row r="78" spans="1:5" x14ac:dyDescent="0.2">
      <c r="A78" s="3"/>
      <c r="C78" s="3"/>
      <c r="E78" s="3"/>
    </row>
    <row r="79" spans="1:5" x14ac:dyDescent="0.2">
      <c r="A79" s="3"/>
      <c r="C79" s="3"/>
      <c r="E79" s="3"/>
    </row>
    <row r="80" spans="1:5" x14ac:dyDescent="0.2">
      <c r="A80" s="3"/>
      <c r="C80" s="3"/>
      <c r="E80" s="3"/>
    </row>
    <row r="81" spans="1:5" x14ac:dyDescent="0.2">
      <c r="A81" s="3"/>
      <c r="C81" s="3"/>
      <c r="E81" s="3"/>
    </row>
    <row r="82" spans="1:5" x14ac:dyDescent="0.2">
      <c r="A82" s="3"/>
      <c r="C82" s="3"/>
      <c r="E82" s="3"/>
    </row>
    <row r="83" spans="1:5" x14ac:dyDescent="0.2">
      <c r="A83" s="3"/>
      <c r="C83" s="3"/>
      <c r="E83" s="3"/>
    </row>
    <row r="84" spans="1:5" x14ac:dyDescent="0.2">
      <c r="A84" s="3"/>
      <c r="C84" s="3"/>
      <c r="E84" s="3"/>
    </row>
    <row r="85" spans="1:5" x14ac:dyDescent="0.2">
      <c r="A85" s="3"/>
      <c r="C85" s="3"/>
      <c r="E85" s="3"/>
    </row>
    <row r="86" spans="1:5" x14ac:dyDescent="0.2">
      <c r="A86" s="3"/>
      <c r="C86" s="3"/>
      <c r="E86" s="3"/>
    </row>
    <row r="87" spans="1:5" x14ac:dyDescent="0.2">
      <c r="A87" s="3"/>
      <c r="C87" s="3"/>
      <c r="E87" s="3"/>
    </row>
    <row r="88" spans="1:5" x14ac:dyDescent="0.2">
      <c r="A88" s="3"/>
      <c r="C88" s="3"/>
      <c r="E88" s="3"/>
    </row>
    <row r="89" spans="1:5" x14ac:dyDescent="0.2">
      <c r="A89" s="3"/>
      <c r="C89" s="3"/>
      <c r="E89" s="3"/>
    </row>
    <row r="90" spans="1:5" x14ac:dyDescent="0.2">
      <c r="A90" s="3"/>
      <c r="C90" s="3"/>
      <c r="E90" s="3"/>
    </row>
    <row r="91" spans="1:5" x14ac:dyDescent="0.2">
      <c r="A91" s="3"/>
      <c r="C91" s="3"/>
      <c r="E91" s="3"/>
    </row>
    <row r="92" spans="1:5" x14ac:dyDescent="0.2">
      <c r="A92" s="3"/>
      <c r="C92" s="3"/>
      <c r="E92" s="3"/>
    </row>
    <row r="93" spans="1:5" x14ac:dyDescent="0.2">
      <c r="A93" s="3"/>
      <c r="C93" s="3"/>
      <c r="E93" s="3"/>
    </row>
    <row r="94" spans="1:5" x14ac:dyDescent="0.2">
      <c r="A94" s="3"/>
      <c r="C94" s="3"/>
      <c r="E94" s="3"/>
    </row>
  </sheetData>
  <mergeCells count="15">
    <mergeCell ref="H22:H26"/>
    <mergeCell ref="A2:B2"/>
    <mergeCell ref="A5:A6"/>
    <mergeCell ref="B5:B6"/>
    <mergeCell ref="C5:C6"/>
    <mergeCell ref="A7:B7"/>
    <mergeCell ref="A22:A26"/>
    <mergeCell ref="B22:B26"/>
    <mergeCell ref="C22:C26"/>
    <mergeCell ref="D5:G5"/>
    <mergeCell ref="H5:J5"/>
    <mergeCell ref="A3:J3"/>
    <mergeCell ref="A4:J4"/>
    <mergeCell ref="I22:I26"/>
    <mergeCell ref="J22:J26"/>
  </mergeCells>
  <printOptions horizontalCentered="1" verticalCentered="1"/>
  <pageMargins left="0.39370078740157483" right="0.70866141732283472" top="0.94488188976377963" bottom="0.62992125984251968" header="0.31496062992125984" footer="0.15748031496062992"/>
  <pageSetup paperSize="9" scale="80" orientation="landscape" r:id="rId1"/>
  <headerFooter>
    <oddHeader>&amp;L&amp;G</oddHeader>
    <oddFooter>&amp;L&amp;G</oddFooter>
  </headerFooter>
  <rowBreaks count="1" manualBreakCount="1">
    <brk id="20"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7" tint="0.79998168889431442"/>
  </sheetPr>
  <dimension ref="A2:J131"/>
  <sheetViews>
    <sheetView view="pageBreakPreview" topLeftCell="A3" zoomScale="60" zoomScaleNormal="100" workbookViewId="0">
      <selection activeCell="M109" sqref="M109"/>
    </sheetView>
  </sheetViews>
  <sheetFormatPr baseColWidth="10" defaultRowHeight="12.75" x14ac:dyDescent="0.2"/>
  <cols>
    <col min="1" max="1" width="5.7109375" style="6" customWidth="1"/>
    <col min="2" max="2" width="53.140625" style="3" customWidth="1"/>
    <col min="3" max="3" width="15.42578125" style="7" customWidth="1"/>
    <col min="4" max="4" width="19" style="159" customWidth="1"/>
    <col min="5" max="5" width="11.85546875" style="8" customWidth="1"/>
    <col min="6" max="6" width="11.7109375" style="159" customWidth="1"/>
    <col min="7" max="7" width="10.140625" style="159" customWidth="1"/>
    <col min="8" max="8" width="12.5703125" style="3" customWidth="1"/>
    <col min="9" max="9" width="13.42578125" style="3" customWidth="1"/>
    <col min="10" max="10" width="9.85546875" style="3" customWidth="1"/>
    <col min="11" max="16384" width="11.42578125" style="3"/>
  </cols>
  <sheetData>
    <row r="2" spans="1:10" ht="18" customHeight="1" x14ac:dyDescent="0.2">
      <c r="A2" s="982" t="s">
        <v>23</v>
      </c>
      <c r="B2" s="983"/>
      <c r="C2" s="1"/>
      <c r="D2" s="150"/>
      <c r="E2" s="269"/>
      <c r="F2" s="150"/>
      <c r="G2" s="150"/>
      <c r="H2" s="271"/>
      <c r="I2" s="271"/>
      <c r="J2" s="2"/>
    </row>
    <row r="3" spans="1:10" ht="27" customHeight="1" x14ac:dyDescent="0.2">
      <c r="A3" s="987" t="s">
        <v>6</v>
      </c>
      <c r="B3" s="988"/>
      <c r="C3" s="988"/>
      <c r="D3" s="988"/>
      <c r="E3" s="988"/>
      <c r="F3" s="988"/>
      <c r="G3" s="988"/>
      <c r="H3" s="988"/>
      <c r="I3" s="988"/>
      <c r="J3" s="989"/>
    </row>
    <row r="4" spans="1:10" ht="20.25" customHeight="1" x14ac:dyDescent="0.2">
      <c r="A4" s="1075" t="s">
        <v>16</v>
      </c>
      <c r="B4" s="1076"/>
      <c r="C4" s="1076"/>
      <c r="D4" s="1076"/>
      <c r="E4" s="1076"/>
      <c r="F4" s="1076"/>
      <c r="G4" s="1076"/>
      <c r="H4" s="1076"/>
      <c r="I4" s="1076"/>
      <c r="J4" s="1077"/>
    </row>
    <row r="5" spans="1:10" ht="18" customHeight="1" x14ac:dyDescent="0.2">
      <c r="A5" s="1007" t="s">
        <v>0</v>
      </c>
      <c r="B5" s="984" t="s">
        <v>1</v>
      </c>
      <c r="C5" s="984" t="s">
        <v>2</v>
      </c>
      <c r="D5" s="990" t="s">
        <v>1440</v>
      </c>
      <c r="E5" s="990"/>
      <c r="F5" s="990"/>
      <c r="G5" s="990"/>
      <c r="H5" s="990" t="s">
        <v>1441</v>
      </c>
      <c r="I5" s="990"/>
      <c r="J5" s="990"/>
    </row>
    <row r="6" spans="1:10" ht="24" customHeight="1" x14ac:dyDescent="0.2">
      <c r="A6" s="1008"/>
      <c r="B6" s="984"/>
      <c r="C6" s="984"/>
      <c r="D6" s="4" t="s">
        <v>3</v>
      </c>
      <c r="E6" s="4" t="s">
        <v>4</v>
      </c>
      <c r="F6" s="270" t="s">
        <v>1298</v>
      </c>
      <c r="G6" s="270" t="s">
        <v>1439</v>
      </c>
      <c r="H6" s="4" t="s">
        <v>1297</v>
      </c>
      <c r="I6" s="270" t="s">
        <v>1298</v>
      </c>
      <c r="J6" s="270" t="s">
        <v>1439</v>
      </c>
    </row>
    <row r="7" spans="1:10" ht="27.75" customHeight="1" x14ac:dyDescent="0.2">
      <c r="A7" s="1009" t="s">
        <v>2050</v>
      </c>
      <c r="B7" s="1010"/>
      <c r="C7" s="665"/>
      <c r="D7" s="665"/>
      <c r="E7" s="666"/>
      <c r="F7" s="666"/>
      <c r="G7" s="666"/>
      <c r="H7" s="325">
        <f>+H8+H32+H46+H48+H56+H68+H80</f>
        <v>21582100</v>
      </c>
      <c r="I7" s="320">
        <f>+I8+I32+I46+I48+I56+I68+I80</f>
        <v>15948801.299999999</v>
      </c>
      <c r="J7" s="545">
        <f t="shared" ref="J7:J79" si="0">(I7*100)/H7</f>
        <v>73.898282836239289</v>
      </c>
    </row>
    <row r="8" spans="1:10" ht="18.75" customHeight="1" x14ac:dyDescent="0.2">
      <c r="A8" s="125">
        <v>1</v>
      </c>
      <c r="B8" s="283" t="s">
        <v>2051</v>
      </c>
      <c r="C8" s="292"/>
      <c r="D8" s="292"/>
      <c r="E8" s="783"/>
      <c r="F8" s="783"/>
      <c r="G8" s="783"/>
      <c r="H8" s="123">
        <f>SUM(H9:H31)</f>
        <v>5021195</v>
      </c>
      <c r="I8" s="288">
        <f>SUM(I9:I31)</f>
        <v>3118109.1399999997</v>
      </c>
      <c r="J8" s="564">
        <f t="shared" si="0"/>
        <v>62.098945370574121</v>
      </c>
    </row>
    <row r="9" spans="1:10" ht="18.75" customHeight="1" x14ac:dyDescent="0.2">
      <c r="A9" s="351">
        <v>1.1000000000000001</v>
      </c>
      <c r="B9" s="350" t="s">
        <v>2052</v>
      </c>
      <c r="C9" s="352" t="s">
        <v>46</v>
      </c>
      <c r="D9" s="556" t="s">
        <v>627</v>
      </c>
      <c r="E9" s="535">
        <v>535.70000000000005</v>
      </c>
      <c r="F9" s="590">
        <v>535.70000000000005</v>
      </c>
      <c r="G9" s="535">
        <f t="shared" ref="G9:G79" si="1">(F9*100)/E9</f>
        <v>100</v>
      </c>
      <c r="H9" s="122">
        <v>45000</v>
      </c>
      <c r="I9" s="562">
        <v>28800</v>
      </c>
      <c r="J9" s="535">
        <f t="shared" si="0"/>
        <v>64</v>
      </c>
    </row>
    <row r="10" spans="1:10" ht="20.25" customHeight="1" x14ac:dyDescent="0.2">
      <c r="A10" s="546">
        <v>1.2</v>
      </c>
      <c r="B10" s="350" t="s">
        <v>2053</v>
      </c>
      <c r="C10" s="352" t="s">
        <v>46</v>
      </c>
      <c r="D10" s="556" t="s">
        <v>627</v>
      </c>
      <c r="E10" s="535">
        <v>535.70000000000005</v>
      </c>
      <c r="F10" s="590">
        <v>535.70000000000005</v>
      </c>
      <c r="G10" s="535">
        <f t="shared" si="1"/>
        <v>100</v>
      </c>
      <c r="H10" s="122">
        <v>240386</v>
      </c>
      <c r="I10" s="311">
        <v>133441.39000000001</v>
      </c>
      <c r="J10" s="535">
        <f t="shared" si="0"/>
        <v>55.51129849492068</v>
      </c>
    </row>
    <row r="11" spans="1:10" ht="18.75" customHeight="1" x14ac:dyDescent="0.2">
      <c r="A11" s="546">
        <v>1.3</v>
      </c>
      <c r="B11" s="605" t="s">
        <v>2054</v>
      </c>
      <c r="C11" s="352" t="s">
        <v>46</v>
      </c>
      <c r="D11" s="556" t="s">
        <v>627</v>
      </c>
      <c r="E11" s="535">
        <v>535.70000000000005</v>
      </c>
      <c r="F11" s="590">
        <v>535.70000000000005</v>
      </c>
      <c r="G11" s="535">
        <f t="shared" si="1"/>
        <v>100</v>
      </c>
      <c r="H11" s="122">
        <v>56800</v>
      </c>
      <c r="I11" s="847">
        <v>37932</v>
      </c>
      <c r="J11" s="535">
        <f t="shared" si="0"/>
        <v>66.781690140845072</v>
      </c>
    </row>
    <row r="12" spans="1:10" ht="27" customHeight="1" x14ac:dyDescent="0.2">
      <c r="A12" s="546">
        <v>1.4</v>
      </c>
      <c r="B12" s="547" t="s">
        <v>2055</v>
      </c>
      <c r="C12" s="352" t="s">
        <v>46</v>
      </c>
      <c r="D12" s="556" t="s">
        <v>627</v>
      </c>
      <c r="E12" s="535">
        <v>6</v>
      </c>
      <c r="F12" s="583">
        <v>4</v>
      </c>
      <c r="G12" s="535">
        <f t="shared" si="1"/>
        <v>66.666666666666671</v>
      </c>
      <c r="H12" s="122">
        <v>66000</v>
      </c>
      <c r="I12" s="847">
        <v>34323.46</v>
      </c>
      <c r="J12" s="535">
        <f t="shared" si="0"/>
        <v>52.005242424242425</v>
      </c>
    </row>
    <row r="13" spans="1:10" ht="27.75" customHeight="1" x14ac:dyDescent="0.2">
      <c r="A13" s="546">
        <v>1.5</v>
      </c>
      <c r="B13" s="547" t="s">
        <v>2056</v>
      </c>
      <c r="C13" s="352" t="s">
        <v>46</v>
      </c>
      <c r="D13" s="556" t="s">
        <v>627</v>
      </c>
      <c r="E13" s="583">
        <v>560</v>
      </c>
      <c r="F13" s="583">
        <v>560</v>
      </c>
      <c r="G13" s="535">
        <f t="shared" si="1"/>
        <v>100</v>
      </c>
      <c r="H13" s="122">
        <v>120000</v>
      </c>
      <c r="I13" s="847">
        <v>12000</v>
      </c>
      <c r="J13" s="535">
        <f t="shared" si="0"/>
        <v>10</v>
      </c>
    </row>
    <row r="14" spans="1:10" ht="40.5" customHeight="1" x14ac:dyDescent="0.2">
      <c r="A14" s="546">
        <v>1.6</v>
      </c>
      <c r="B14" s="548" t="s">
        <v>2057</v>
      </c>
      <c r="C14" s="352" t="s">
        <v>626</v>
      </c>
      <c r="D14" s="556" t="s">
        <v>627</v>
      </c>
      <c r="E14" s="535">
        <v>28.1</v>
      </c>
      <c r="F14" s="535">
        <v>28.1</v>
      </c>
      <c r="G14" s="535">
        <f t="shared" si="1"/>
        <v>100</v>
      </c>
      <c r="H14" s="122">
        <v>271301</v>
      </c>
      <c r="I14" s="847">
        <v>171718.34</v>
      </c>
      <c r="J14" s="535">
        <f t="shared" si="0"/>
        <v>63.294399946922425</v>
      </c>
    </row>
    <row r="15" spans="1:10" ht="40.5" customHeight="1" x14ac:dyDescent="0.2">
      <c r="A15" s="546">
        <v>1.7</v>
      </c>
      <c r="B15" s="549" t="s">
        <v>2058</v>
      </c>
      <c r="C15" s="352" t="s">
        <v>626</v>
      </c>
      <c r="D15" s="556" t="s">
        <v>627</v>
      </c>
      <c r="E15" s="557">
        <v>33.020000000000003</v>
      </c>
      <c r="F15" s="557">
        <v>33.020000000000003</v>
      </c>
      <c r="G15" s="535">
        <f t="shared" si="1"/>
        <v>100</v>
      </c>
      <c r="H15" s="122">
        <v>312049</v>
      </c>
      <c r="I15" s="847">
        <v>196246.1</v>
      </c>
      <c r="J15" s="535">
        <f t="shared" si="0"/>
        <v>62.889514146816687</v>
      </c>
    </row>
    <row r="16" spans="1:10" ht="65.25" customHeight="1" x14ac:dyDescent="0.2">
      <c r="A16" s="546">
        <v>1.8</v>
      </c>
      <c r="B16" s="550" t="s">
        <v>2059</v>
      </c>
      <c r="C16" s="352" t="s">
        <v>628</v>
      </c>
      <c r="D16" s="556" t="s">
        <v>627</v>
      </c>
      <c r="E16" s="557">
        <v>14.6</v>
      </c>
      <c r="F16" s="557">
        <v>14.6</v>
      </c>
      <c r="G16" s="535">
        <f t="shared" si="1"/>
        <v>100</v>
      </c>
      <c r="H16" s="122">
        <v>128212</v>
      </c>
      <c r="I16" s="847">
        <v>78127.649999999994</v>
      </c>
      <c r="J16" s="535">
        <f t="shared" si="0"/>
        <v>60.93630081427635</v>
      </c>
    </row>
    <row r="17" spans="1:10" ht="20.25" customHeight="1" x14ac:dyDescent="0.2">
      <c r="A17" s="546">
        <v>1.9</v>
      </c>
      <c r="B17" s="549" t="s">
        <v>2060</v>
      </c>
      <c r="C17" s="352" t="s">
        <v>2061</v>
      </c>
      <c r="D17" s="556" t="s">
        <v>627</v>
      </c>
      <c r="E17" s="557">
        <v>8.06</v>
      </c>
      <c r="F17" s="557">
        <v>8.06</v>
      </c>
      <c r="G17" s="535">
        <f t="shared" si="1"/>
        <v>100</v>
      </c>
      <c r="H17" s="122">
        <v>94672</v>
      </c>
      <c r="I17" s="847">
        <v>69125</v>
      </c>
      <c r="J17" s="535">
        <f t="shared" si="0"/>
        <v>73.015252661821876</v>
      </c>
    </row>
    <row r="18" spans="1:10" ht="18.75" customHeight="1" x14ac:dyDescent="0.2">
      <c r="A18" s="551">
        <v>1.1000000000000001</v>
      </c>
      <c r="B18" s="550" t="s">
        <v>2062</v>
      </c>
      <c r="C18" s="352" t="s">
        <v>628</v>
      </c>
      <c r="D18" s="556" t="s">
        <v>627</v>
      </c>
      <c r="E18" s="557">
        <v>25.45</v>
      </c>
      <c r="F18" s="557">
        <v>25.45</v>
      </c>
      <c r="G18" s="535">
        <f t="shared" si="1"/>
        <v>100</v>
      </c>
      <c r="H18" s="122">
        <v>157787</v>
      </c>
      <c r="I18" s="847">
        <v>95940.45</v>
      </c>
      <c r="J18" s="535">
        <f t="shared" si="0"/>
        <v>60.803773441411522</v>
      </c>
    </row>
    <row r="19" spans="1:10" ht="18.75" customHeight="1" x14ac:dyDescent="0.2">
      <c r="A19" s="551">
        <v>1.1100000000000001</v>
      </c>
      <c r="B19" s="549" t="s">
        <v>2063</v>
      </c>
      <c r="C19" s="352" t="s">
        <v>2061</v>
      </c>
      <c r="D19" s="556" t="s">
        <v>627</v>
      </c>
      <c r="E19" s="557">
        <v>25.85</v>
      </c>
      <c r="F19" s="557">
        <v>25.85</v>
      </c>
      <c r="G19" s="535">
        <f t="shared" si="1"/>
        <v>100</v>
      </c>
      <c r="H19" s="122">
        <v>215754</v>
      </c>
      <c r="I19" s="847">
        <v>154236.54999999999</v>
      </c>
      <c r="J19" s="535">
        <f t="shared" si="0"/>
        <v>71.487226192793642</v>
      </c>
    </row>
    <row r="20" spans="1:10" ht="25.5" customHeight="1" x14ac:dyDescent="0.2">
      <c r="A20" s="551">
        <v>1.1200000000000001</v>
      </c>
      <c r="B20" s="549" t="s">
        <v>2064</v>
      </c>
      <c r="C20" s="352" t="s">
        <v>2061</v>
      </c>
      <c r="D20" s="556" t="s">
        <v>627</v>
      </c>
      <c r="E20" s="557">
        <v>15</v>
      </c>
      <c r="F20" s="586">
        <v>15</v>
      </c>
      <c r="G20" s="535">
        <f t="shared" si="1"/>
        <v>100</v>
      </c>
      <c r="H20" s="122">
        <v>100284</v>
      </c>
      <c r="I20" s="847">
        <v>69148.86</v>
      </c>
      <c r="J20" s="535">
        <f t="shared" si="0"/>
        <v>68.953033385186075</v>
      </c>
    </row>
    <row r="21" spans="1:10" ht="18.75" customHeight="1" x14ac:dyDescent="0.2">
      <c r="A21" s="551">
        <v>1.1299999999999999</v>
      </c>
      <c r="B21" s="549" t="s">
        <v>2065</v>
      </c>
      <c r="C21" s="352" t="s">
        <v>626</v>
      </c>
      <c r="D21" s="556" t="s">
        <v>627</v>
      </c>
      <c r="E21" s="557">
        <v>22.92</v>
      </c>
      <c r="F21" s="557">
        <v>22.92</v>
      </c>
      <c r="G21" s="535">
        <f t="shared" si="1"/>
        <v>99.999999999999986</v>
      </c>
      <c r="H21" s="122">
        <v>201530</v>
      </c>
      <c r="I21" s="847">
        <v>125623.72</v>
      </c>
      <c r="J21" s="535">
        <f t="shared" si="0"/>
        <v>62.334997270877786</v>
      </c>
    </row>
    <row r="22" spans="1:10" ht="29.25" customHeight="1" x14ac:dyDescent="0.2">
      <c r="A22" s="551">
        <v>1.1399999999999999</v>
      </c>
      <c r="B22" s="550" t="s">
        <v>2066</v>
      </c>
      <c r="C22" s="352" t="s">
        <v>626</v>
      </c>
      <c r="D22" s="556" t="s">
        <v>627</v>
      </c>
      <c r="E22" s="557">
        <v>13.5</v>
      </c>
      <c r="F22" s="586">
        <v>13.5</v>
      </c>
      <c r="G22" s="535">
        <f t="shared" si="1"/>
        <v>100</v>
      </c>
      <c r="H22" s="122">
        <v>132854</v>
      </c>
      <c r="I22" s="847">
        <v>82814.429999999993</v>
      </c>
      <c r="J22" s="535">
        <f t="shared" si="0"/>
        <v>62.334916524907037</v>
      </c>
    </row>
    <row r="23" spans="1:10" ht="27" customHeight="1" x14ac:dyDescent="0.2">
      <c r="A23" s="551">
        <v>1.1499999999999999</v>
      </c>
      <c r="B23" s="549" t="s">
        <v>2067</v>
      </c>
      <c r="C23" s="352" t="s">
        <v>2061</v>
      </c>
      <c r="D23" s="556" t="s">
        <v>627</v>
      </c>
      <c r="E23" s="586">
        <v>15</v>
      </c>
      <c r="F23" s="586">
        <v>15</v>
      </c>
      <c r="G23" s="535">
        <f t="shared" si="1"/>
        <v>100</v>
      </c>
      <c r="H23" s="122">
        <v>73287</v>
      </c>
      <c r="I23" s="847">
        <v>68852.27</v>
      </c>
      <c r="J23" s="535">
        <f t="shared" si="0"/>
        <v>93.948817662068308</v>
      </c>
    </row>
    <row r="24" spans="1:10" ht="29.25" customHeight="1" x14ac:dyDescent="0.2">
      <c r="A24" s="551">
        <v>1.1599999999999999</v>
      </c>
      <c r="B24" s="549" t="s">
        <v>2068</v>
      </c>
      <c r="C24" s="352" t="s">
        <v>626</v>
      </c>
      <c r="D24" s="556" t="s">
        <v>627</v>
      </c>
      <c r="E24" s="586">
        <v>48</v>
      </c>
      <c r="F24" s="586">
        <v>48</v>
      </c>
      <c r="G24" s="535">
        <f t="shared" si="1"/>
        <v>100</v>
      </c>
      <c r="H24" s="122">
        <v>394081</v>
      </c>
      <c r="I24" s="847">
        <v>277308.45</v>
      </c>
      <c r="J24" s="535">
        <f t="shared" si="0"/>
        <v>70.3683887322657</v>
      </c>
    </row>
    <row r="25" spans="1:10" ht="29.25" customHeight="1" x14ac:dyDescent="0.2">
      <c r="A25" s="551">
        <v>1.17</v>
      </c>
      <c r="B25" s="549" t="s">
        <v>2069</v>
      </c>
      <c r="C25" s="352" t="s">
        <v>626</v>
      </c>
      <c r="D25" s="556" t="s">
        <v>627</v>
      </c>
      <c r="E25" s="586">
        <v>30</v>
      </c>
      <c r="F25" s="586">
        <v>30</v>
      </c>
      <c r="G25" s="535">
        <f t="shared" si="1"/>
        <v>100</v>
      </c>
      <c r="H25" s="122">
        <v>199407</v>
      </c>
      <c r="I25" s="847">
        <v>166865.32</v>
      </c>
      <c r="J25" s="535">
        <f t="shared" si="0"/>
        <v>83.680773493407955</v>
      </c>
    </row>
    <row r="26" spans="1:10" ht="27" customHeight="1" x14ac:dyDescent="0.2">
      <c r="A26" s="551">
        <v>1.18</v>
      </c>
      <c r="B26" s="565" t="s">
        <v>2070</v>
      </c>
      <c r="C26" s="352" t="s">
        <v>628</v>
      </c>
      <c r="D26" s="556" t="s">
        <v>627</v>
      </c>
      <c r="E26" s="586">
        <v>36</v>
      </c>
      <c r="F26" s="586">
        <v>36</v>
      </c>
      <c r="G26" s="535">
        <f t="shared" si="1"/>
        <v>100</v>
      </c>
      <c r="H26" s="122">
        <v>324281</v>
      </c>
      <c r="I26" s="847">
        <v>201398.71</v>
      </c>
      <c r="J26" s="535">
        <f t="shared" si="0"/>
        <v>62.106231940816762</v>
      </c>
    </row>
    <row r="27" spans="1:10" ht="18.75" customHeight="1" x14ac:dyDescent="0.2">
      <c r="A27" s="551">
        <v>1.19</v>
      </c>
      <c r="B27" s="549" t="s">
        <v>2071</v>
      </c>
      <c r="C27" s="352" t="s">
        <v>630</v>
      </c>
      <c r="D27" s="556" t="s">
        <v>627</v>
      </c>
      <c r="E27" s="586">
        <v>45</v>
      </c>
      <c r="F27" s="586">
        <v>45</v>
      </c>
      <c r="G27" s="535">
        <f t="shared" si="1"/>
        <v>100</v>
      </c>
      <c r="H27" s="122">
        <v>366085</v>
      </c>
      <c r="I27" s="847">
        <v>250984.7</v>
      </c>
      <c r="J27" s="535">
        <f t="shared" si="0"/>
        <v>68.559132441919232</v>
      </c>
    </row>
    <row r="28" spans="1:10" ht="28.5" customHeight="1" x14ac:dyDescent="0.2">
      <c r="A28" s="551">
        <v>1.2</v>
      </c>
      <c r="B28" s="549" t="s">
        <v>2072</v>
      </c>
      <c r="C28" s="352" t="s">
        <v>168</v>
      </c>
      <c r="D28" s="556" t="s">
        <v>627</v>
      </c>
      <c r="E28" s="586">
        <v>70</v>
      </c>
      <c r="F28" s="586">
        <v>70</v>
      </c>
      <c r="G28" s="535">
        <f t="shared" si="1"/>
        <v>100</v>
      </c>
      <c r="H28" s="122">
        <v>565936</v>
      </c>
      <c r="I28" s="847">
        <v>394206.13</v>
      </c>
      <c r="J28" s="535">
        <f t="shared" si="0"/>
        <v>69.655602400271405</v>
      </c>
    </row>
    <row r="29" spans="1:10" ht="23.25" customHeight="1" x14ac:dyDescent="0.2">
      <c r="A29" s="551">
        <v>1.21</v>
      </c>
      <c r="B29" s="549" t="s">
        <v>2073</v>
      </c>
      <c r="C29" s="352" t="s">
        <v>2061</v>
      </c>
      <c r="D29" s="556" t="s">
        <v>627</v>
      </c>
      <c r="E29" s="557">
        <v>18.2</v>
      </c>
      <c r="F29" s="557">
        <v>18.2</v>
      </c>
      <c r="G29" s="535">
        <f t="shared" si="1"/>
        <v>100</v>
      </c>
      <c r="H29" s="122">
        <v>124233</v>
      </c>
      <c r="I29" s="847">
        <v>90165.04</v>
      </c>
      <c r="J29" s="535">
        <f t="shared" si="0"/>
        <v>72.577366722207472</v>
      </c>
    </row>
    <row r="30" spans="1:10" ht="18.75" customHeight="1" x14ac:dyDescent="0.2">
      <c r="A30" s="551">
        <v>1.22</v>
      </c>
      <c r="B30" s="549" t="s">
        <v>2074</v>
      </c>
      <c r="C30" s="352" t="s">
        <v>626</v>
      </c>
      <c r="D30" s="556" t="s">
        <v>627</v>
      </c>
      <c r="E30" s="586">
        <v>30</v>
      </c>
      <c r="F30" s="586">
        <v>30</v>
      </c>
      <c r="G30" s="535">
        <f t="shared" si="1"/>
        <v>100</v>
      </c>
      <c r="H30" s="122">
        <v>585256</v>
      </c>
      <c r="I30" s="847">
        <v>354131.23</v>
      </c>
      <c r="J30" s="535">
        <f t="shared" si="0"/>
        <v>60.508773938242413</v>
      </c>
    </row>
    <row r="31" spans="1:10" ht="18.75" customHeight="1" x14ac:dyDescent="0.2">
      <c r="A31" s="551">
        <v>1.23</v>
      </c>
      <c r="B31" s="549" t="s">
        <v>2075</v>
      </c>
      <c r="C31" s="352" t="s">
        <v>628</v>
      </c>
      <c r="D31" s="556" t="s">
        <v>627</v>
      </c>
      <c r="E31" s="586">
        <v>26</v>
      </c>
      <c r="F31" s="586">
        <v>26</v>
      </c>
      <c r="G31" s="535">
        <f t="shared" si="1"/>
        <v>100</v>
      </c>
      <c r="H31" s="122">
        <v>246000</v>
      </c>
      <c r="I31" s="847">
        <v>24719.34</v>
      </c>
      <c r="J31" s="535">
        <f t="shared" si="0"/>
        <v>10.048512195121951</v>
      </c>
    </row>
    <row r="32" spans="1:10" ht="18.75" customHeight="1" x14ac:dyDescent="0.2">
      <c r="A32" s="125">
        <v>2</v>
      </c>
      <c r="B32" s="283" t="s">
        <v>2076</v>
      </c>
      <c r="C32" s="352"/>
      <c r="D32" s="556"/>
      <c r="E32" s="535"/>
      <c r="F32" s="535"/>
      <c r="G32" s="535"/>
      <c r="H32" s="123">
        <f>SUM(H33:H45)</f>
        <v>2572151</v>
      </c>
      <c r="I32" s="288">
        <f>SUM(I33:I45)</f>
        <v>919224.96000000008</v>
      </c>
      <c r="J32" s="564">
        <f t="shared" si="0"/>
        <v>35.73759705398323</v>
      </c>
    </row>
    <row r="33" spans="1:10" ht="25.5" customHeight="1" x14ac:dyDescent="0.2">
      <c r="A33" s="546">
        <v>2.1</v>
      </c>
      <c r="B33" s="605" t="s">
        <v>2077</v>
      </c>
      <c r="C33" s="352" t="s">
        <v>46</v>
      </c>
      <c r="D33" s="556" t="s">
        <v>627</v>
      </c>
      <c r="E33" s="583">
        <v>124</v>
      </c>
      <c r="F33" s="583">
        <v>124</v>
      </c>
      <c r="G33" s="535">
        <f t="shared" si="1"/>
        <v>100</v>
      </c>
      <c r="H33" s="122">
        <v>108828</v>
      </c>
      <c r="I33" s="847">
        <v>66072.820000000007</v>
      </c>
      <c r="J33" s="535">
        <f t="shared" si="0"/>
        <v>60.713070165766169</v>
      </c>
    </row>
    <row r="34" spans="1:10" ht="19.5" customHeight="1" x14ac:dyDescent="0.2">
      <c r="A34" s="351">
        <v>2.2000000000000002</v>
      </c>
      <c r="B34" s="552" t="s">
        <v>2078</v>
      </c>
      <c r="C34" s="352" t="s">
        <v>626</v>
      </c>
      <c r="D34" s="556" t="s">
        <v>627</v>
      </c>
      <c r="E34" s="558">
        <v>22.92</v>
      </c>
      <c r="F34" s="558">
        <v>22.92</v>
      </c>
      <c r="G34" s="535">
        <f t="shared" si="1"/>
        <v>99.999999999999986</v>
      </c>
      <c r="H34" s="122">
        <v>183360</v>
      </c>
      <c r="I34" s="847">
        <v>122807.18</v>
      </c>
      <c r="J34" s="535">
        <f t="shared" si="0"/>
        <v>66.975992582897035</v>
      </c>
    </row>
    <row r="35" spans="1:10" ht="19.5" customHeight="1" x14ac:dyDescent="0.2">
      <c r="A35" s="351">
        <v>2.2999999999999998</v>
      </c>
      <c r="B35" s="552" t="s">
        <v>2079</v>
      </c>
      <c r="C35" s="352" t="s">
        <v>168</v>
      </c>
      <c r="D35" s="556" t="s">
        <v>627</v>
      </c>
      <c r="E35" s="585">
        <v>28</v>
      </c>
      <c r="F35" s="583">
        <v>28</v>
      </c>
      <c r="G35" s="535">
        <f t="shared" si="1"/>
        <v>100</v>
      </c>
      <c r="H35" s="122">
        <v>224000</v>
      </c>
      <c r="I35" s="847">
        <v>187623.78</v>
      </c>
      <c r="J35" s="535">
        <f t="shared" si="0"/>
        <v>83.760616071428572</v>
      </c>
    </row>
    <row r="36" spans="1:10" ht="19.5" customHeight="1" x14ac:dyDescent="0.2">
      <c r="A36" s="546">
        <v>2.4</v>
      </c>
      <c r="B36" s="552" t="s">
        <v>2080</v>
      </c>
      <c r="C36" s="553" t="s">
        <v>626</v>
      </c>
      <c r="D36" s="556" t="s">
        <v>627</v>
      </c>
      <c r="E36" s="558">
        <v>160</v>
      </c>
      <c r="F36" s="583">
        <v>160</v>
      </c>
      <c r="G36" s="535">
        <f t="shared" si="1"/>
        <v>100</v>
      </c>
      <c r="H36" s="122">
        <v>200000</v>
      </c>
      <c r="I36" s="847">
        <v>170078.06</v>
      </c>
      <c r="J36" s="535">
        <f t="shared" si="0"/>
        <v>85.039029999999997</v>
      </c>
    </row>
    <row r="37" spans="1:10" ht="19.5" customHeight="1" x14ac:dyDescent="0.2">
      <c r="A37" s="351">
        <v>2.5</v>
      </c>
      <c r="B37" s="552" t="s">
        <v>2081</v>
      </c>
      <c r="C37" s="553" t="s">
        <v>628</v>
      </c>
      <c r="D37" s="556" t="s">
        <v>627</v>
      </c>
      <c r="E37" s="558">
        <v>37.200000000000003</v>
      </c>
      <c r="F37" s="535">
        <v>37.200000000000003</v>
      </c>
      <c r="G37" s="535">
        <f t="shared" si="1"/>
        <v>100</v>
      </c>
      <c r="H37" s="122">
        <v>216600</v>
      </c>
      <c r="I37" s="847">
        <v>171349.79</v>
      </c>
      <c r="J37" s="535">
        <f t="shared" si="0"/>
        <v>79.108859649122806</v>
      </c>
    </row>
    <row r="38" spans="1:10" ht="19.5" customHeight="1" x14ac:dyDescent="0.2">
      <c r="A38" s="351">
        <v>2.6</v>
      </c>
      <c r="B38" s="552" t="s">
        <v>2082</v>
      </c>
      <c r="C38" s="553" t="s">
        <v>626</v>
      </c>
      <c r="D38" s="556" t="s">
        <v>627</v>
      </c>
      <c r="E38" s="558">
        <v>12.08</v>
      </c>
      <c r="F38" s="535">
        <v>12.08</v>
      </c>
      <c r="G38" s="535">
        <f t="shared" si="1"/>
        <v>100</v>
      </c>
      <c r="H38" s="122">
        <v>96640</v>
      </c>
      <c r="I38" s="847">
        <v>77174.460000000006</v>
      </c>
      <c r="J38" s="535">
        <f t="shared" si="0"/>
        <v>79.857677980132465</v>
      </c>
    </row>
    <row r="39" spans="1:10" ht="19.5" customHeight="1" x14ac:dyDescent="0.2">
      <c r="A39" s="546">
        <v>2.7</v>
      </c>
      <c r="B39" s="552" t="s">
        <v>2083</v>
      </c>
      <c r="C39" s="553" t="s">
        <v>626</v>
      </c>
      <c r="D39" s="556" t="s">
        <v>627</v>
      </c>
      <c r="E39" s="585">
        <v>16</v>
      </c>
      <c r="F39" s="535">
        <v>0</v>
      </c>
      <c r="G39" s="535">
        <f t="shared" si="1"/>
        <v>0</v>
      </c>
      <c r="H39" s="122">
        <v>148800</v>
      </c>
      <c r="I39" s="847">
        <v>0</v>
      </c>
      <c r="J39" s="535">
        <f t="shared" si="0"/>
        <v>0</v>
      </c>
    </row>
    <row r="40" spans="1:10" ht="19.5" customHeight="1" x14ac:dyDescent="0.2">
      <c r="A40" s="351">
        <v>2.8</v>
      </c>
      <c r="B40" s="552" t="s">
        <v>2084</v>
      </c>
      <c r="C40" s="553" t="s">
        <v>626</v>
      </c>
      <c r="D40" s="556" t="s">
        <v>627</v>
      </c>
      <c r="E40" s="585">
        <v>30</v>
      </c>
      <c r="F40" s="535">
        <v>0</v>
      </c>
      <c r="G40" s="535">
        <f t="shared" si="1"/>
        <v>0</v>
      </c>
      <c r="H40" s="122">
        <v>279000</v>
      </c>
      <c r="I40" s="847">
        <v>0</v>
      </c>
      <c r="J40" s="535">
        <f t="shared" si="0"/>
        <v>0</v>
      </c>
    </row>
    <row r="41" spans="1:10" ht="19.5" customHeight="1" x14ac:dyDescent="0.2">
      <c r="A41" s="351">
        <v>2.9</v>
      </c>
      <c r="B41" s="552" t="s">
        <v>2085</v>
      </c>
      <c r="C41" s="553" t="s">
        <v>168</v>
      </c>
      <c r="D41" s="556" t="s">
        <v>627</v>
      </c>
      <c r="E41" s="585">
        <v>14</v>
      </c>
      <c r="F41" s="583">
        <v>13.9</v>
      </c>
      <c r="G41" s="535">
        <f t="shared" si="1"/>
        <v>99.285714285714292</v>
      </c>
      <c r="H41" s="122">
        <v>112000</v>
      </c>
      <c r="I41" s="42">
        <v>101395.9</v>
      </c>
      <c r="J41" s="535">
        <f t="shared" si="0"/>
        <v>90.532053571428577</v>
      </c>
    </row>
    <row r="42" spans="1:10" ht="19.5" customHeight="1" x14ac:dyDescent="0.2">
      <c r="A42" s="551">
        <v>2.1</v>
      </c>
      <c r="B42" s="552" t="s">
        <v>2086</v>
      </c>
      <c r="C42" s="553" t="s">
        <v>626</v>
      </c>
      <c r="D42" s="556" t="s">
        <v>627</v>
      </c>
      <c r="E42" s="585">
        <v>32</v>
      </c>
      <c r="F42" s="583">
        <v>0</v>
      </c>
      <c r="G42" s="535">
        <f t="shared" si="1"/>
        <v>0</v>
      </c>
      <c r="H42" s="122">
        <v>256000</v>
      </c>
      <c r="I42" s="42">
        <v>0</v>
      </c>
      <c r="J42" s="535">
        <f t="shared" si="0"/>
        <v>0</v>
      </c>
    </row>
    <row r="43" spans="1:10" ht="19.5" customHeight="1" x14ac:dyDescent="0.2">
      <c r="A43" s="551">
        <v>2.11</v>
      </c>
      <c r="B43" s="552" t="s">
        <v>2087</v>
      </c>
      <c r="C43" s="553" t="s">
        <v>170</v>
      </c>
      <c r="D43" s="556" t="s">
        <v>627</v>
      </c>
      <c r="E43" s="585">
        <v>28</v>
      </c>
      <c r="F43" s="583">
        <v>0</v>
      </c>
      <c r="G43" s="535">
        <f t="shared" si="1"/>
        <v>0</v>
      </c>
      <c r="H43" s="122">
        <v>224000</v>
      </c>
      <c r="I43" s="42">
        <v>0</v>
      </c>
      <c r="J43" s="535">
        <f t="shared" si="0"/>
        <v>0</v>
      </c>
    </row>
    <row r="44" spans="1:10" ht="19.5" customHeight="1" x14ac:dyDescent="0.2">
      <c r="A44" s="551">
        <v>2.12</v>
      </c>
      <c r="B44" s="552" t="s">
        <v>2088</v>
      </c>
      <c r="C44" s="553" t="s">
        <v>1185</v>
      </c>
      <c r="D44" s="556" t="s">
        <v>627</v>
      </c>
      <c r="E44" s="585">
        <v>32</v>
      </c>
      <c r="F44" s="583">
        <v>0</v>
      </c>
      <c r="G44" s="535">
        <f t="shared" si="1"/>
        <v>0</v>
      </c>
      <c r="H44" s="122">
        <v>300200</v>
      </c>
      <c r="I44" s="42">
        <v>0</v>
      </c>
      <c r="J44" s="535">
        <f t="shared" si="0"/>
        <v>0</v>
      </c>
    </row>
    <row r="45" spans="1:10" ht="27" customHeight="1" x14ac:dyDescent="0.2">
      <c r="A45" s="551">
        <v>2.13</v>
      </c>
      <c r="B45" s="566" t="s">
        <v>2089</v>
      </c>
      <c r="C45" s="553" t="s">
        <v>628</v>
      </c>
      <c r="D45" s="556" t="s">
        <v>627</v>
      </c>
      <c r="E45" s="585">
        <v>37</v>
      </c>
      <c r="F45" s="583">
        <v>37</v>
      </c>
      <c r="G45" s="535">
        <f t="shared" si="1"/>
        <v>100</v>
      </c>
      <c r="H45" s="122">
        <v>222723</v>
      </c>
      <c r="I45" s="42">
        <v>22722.97</v>
      </c>
      <c r="J45" s="535">
        <f t="shared" si="0"/>
        <v>10.202345514383337</v>
      </c>
    </row>
    <row r="46" spans="1:10" ht="19.5" customHeight="1" x14ac:dyDescent="0.2">
      <c r="A46" s="125">
        <v>3</v>
      </c>
      <c r="B46" s="283" t="s">
        <v>2090</v>
      </c>
      <c r="C46" s="292"/>
      <c r="D46" s="292"/>
      <c r="E46" s="311"/>
      <c r="F46" s="122"/>
      <c r="G46" s="535"/>
      <c r="H46" s="123">
        <f>+H47</f>
        <v>204679</v>
      </c>
      <c r="I46" s="288">
        <f>+I47</f>
        <v>129961.14</v>
      </c>
      <c r="J46" s="564">
        <f t="shared" si="0"/>
        <v>63.495102086682074</v>
      </c>
    </row>
    <row r="47" spans="1:10" ht="21.75" customHeight="1" x14ac:dyDescent="0.2">
      <c r="A47" s="351">
        <v>3.1</v>
      </c>
      <c r="B47" s="605" t="s">
        <v>2090</v>
      </c>
      <c r="C47" s="352" t="s">
        <v>46</v>
      </c>
      <c r="D47" s="556" t="s">
        <v>2091</v>
      </c>
      <c r="E47" s="583">
        <v>100</v>
      </c>
      <c r="F47" s="583">
        <v>50</v>
      </c>
      <c r="G47" s="535">
        <f t="shared" si="1"/>
        <v>50</v>
      </c>
      <c r="H47" s="122">
        <v>204679</v>
      </c>
      <c r="I47" s="42">
        <v>129961.14</v>
      </c>
      <c r="J47" s="535">
        <f t="shared" si="0"/>
        <v>63.495102086682074</v>
      </c>
    </row>
    <row r="48" spans="1:10" ht="19.5" customHeight="1" x14ac:dyDescent="0.2">
      <c r="A48" s="125">
        <v>4</v>
      </c>
      <c r="B48" s="17" t="s">
        <v>2092</v>
      </c>
      <c r="C48" s="554"/>
      <c r="D48" s="554"/>
      <c r="E48" s="288"/>
      <c r="F48" s="288"/>
      <c r="G48" s="535"/>
      <c r="H48" s="123">
        <f>SUM(H49:H55)</f>
        <v>2501835</v>
      </c>
      <c r="I48" s="588">
        <f>SUM(I49:I55)</f>
        <v>1691549.44</v>
      </c>
      <c r="J48" s="564">
        <f t="shared" si="0"/>
        <v>67.612350135000909</v>
      </c>
    </row>
    <row r="49" spans="1:10" ht="19.5" customHeight="1" x14ac:dyDescent="0.2">
      <c r="A49" s="351">
        <v>4.0999999999999996</v>
      </c>
      <c r="B49" s="605" t="s">
        <v>2093</v>
      </c>
      <c r="C49" s="352" t="s">
        <v>46</v>
      </c>
      <c r="D49" s="556" t="s">
        <v>627</v>
      </c>
      <c r="E49" s="535">
        <v>137.86000000000001</v>
      </c>
      <c r="F49" s="535">
        <v>137.86000000000001</v>
      </c>
      <c r="G49" s="535">
        <f t="shared" si="1"/>
        <v>100</v>
      </c>
      <c r="H49" s="122">
        <v>257738</v>
      </c>
      <c r="I49" s="42">
        <v>231695.3</v>
      </c>
      <c r="J49" s="535">
        <f t="shared" si="0"/>
        <v>89.895669245512892</v>
      </c>
    </row>
    <row r="50" spans="1:10" ht="19.5" customHeight="1" x14ac:dyDescent="0.2">
      <c r="A50" s="351">
        <v>4.2</v>
      </c>
      <c r="B50" s="605" t="s">
        <v>2094</v>
      </c>
      <c r="C50" s="352" t="s">
        <v>630</v>
      </c>
      <c r="D50" s="556" t="s">
        <v>627</v>
      </c>
      <c r="E50" s="535">
        <v>30</v>
      </c>
      <c r="F50" s="583">
        <v>26</v>
      </c>
      <c r="G50" s="535">
        <f t="shared" si="1"/>
        <v>86.666666666666671</v>
      </c>
      <c r="H50" s="122">
        <v>1072831</v>
      </c>
      <c r="I50" s="562">
        <v>364580.56</v>
      </c>
      <c r="J50" s="535">
        <f t="shared" si="0"/>
        <v>33.983037402908749</v>
      </c>
    </row>
    <row r="51" spans="1:10" ht="19.5" customHeight="1" x14ac:dyDescent="0.2">
      <c r="A51" s="351">
        <v>4.3</v>
      </c>
      <c r="B51" s="549" t="s">
        <v>2095</v>
      </c>
      <c r="C51" s="352" t="s">
        <v>46</v>
      </c>
      <c r="D51" s="556" t="s">
        <v>627</v>
      </c>
      <c r="E51" s="535">
        <v>137.86000000000001</v>
      </c>
      <c r="F51" s="535">
        <v>137.86000000000001</v>
      </c>
      <c r="G51" s="535">
        <f t="shared" si="1"/>
        <v>100</v>
      </c>
      <c r="H51" s="122">
        <v>11485</v>
      </c>
      <c r="I51" s="563">
        <v>6652</v>
      </c>
      <c r="J51" s="535">
        <f t="shared" si="0"/>
        <v>57.919024814976055</v>
      </c>
    </row>
    <row r="52" spans="1:10" ht="19.5" customHeight="1" x14ac:dyDescent="0.2">
      <c r="A52" s="351">
        <v>4.4000000000000004</v>
      </c>
      <c r="B52" s="549" t="s">
        <v>2096</v>
      </c>
      <c r="C52" s="352" t="s">
        <v>168</v>
      </c>
      <c r="D52" s="556" t="s">
        <v>627</v>
      </c>
      <c r="E52" s="535">
        <v>22</v>
      </c>
      <c r="F52" s="583">
        <v>22</v>
      </c>
      <c r="G52" s="535">
        <f t="shared" si="1"/>
        <v>100</v>
      </c>
      <c r="H52" s="122">
        <v>490361</v>
      </c>
      <c r="I52" s="563">
        <v>490359.62</v>
      </c>
      <c r="J52" s="535">
        <f t="shared" si="0"/>
        <v>99.999718574682731</v>
      </c>
    </row>
    <row r="53" spans="1:10" ht="19.5" customHeight="1" x14ac:dyDescent="0.2">
      <c r="A53" s="351">
        <v>4.5</v>
      </c>
      <c r="B53" s="550" t="s">
        <v>2097</v>
      </c>
      <c r="C53" s="352" t="s">
        <v>168</v>
      </c>
      <c r="D53" s="556" t="s">
        <v>627</v>
      </c>
      <c r="E53" s="535">
        <v>6</v>
      </c>
      <c r="F53" s="583">
        <v>6</v>
      </c>
      <c r="G53" s="535">
        <f t="shared" si="1"/>
        <v>100</v>
      </c>
      <c r="H53" s="122">
        <v>245000</v>
      </c>
      <c r="I53" s="563">
        <v>245000</v>
      </c>
      <c r="J53" s="535">
        <f t="shared" si="0"/>
        <v>100</v>
      </c>
    </row>
    <row r="54" spans="1:10" ht="19.5" customHeight="1" x14ac:dyDescent="0.2">
      <c r="A54" s="351">
        <v>4.5999999999999996</v>
      </c>
      <c r="B54" s="550" t="s">
        <v>2098</v>
      </c>
      <c r="C54" s="352" t="s">
        <v>168</v>
      </c>
      <c r="D54" s="556" t="s">
        <v>627</v>
      </c>
      <c r="E54" s="535">
        <v>43.83</v>
      </c>
      <c r="F54" s="535">
        <v>43.83</v>
      </c>
      <c r="G54" s="535">
        <f t="shared" si="1"/>
        <v>100</v>
      </c>
      <c r="H54" s="122">
        <v>40827</v>
      </c>
      <c r="I54" s="563">
        <v>14580</v>
      </c>
      <c r="J54" s="535">
        <f t="shared" si="0"/>
        <v>35.711661400543761</v>
      </c>
    </row>
    <row r="55" spans="1:10" ht="19.5" customHeight="1" x14ac:dyDescent="0.2">
      <c r="A55" s="351">
        <v>4.7</v>
      </c>
      <c r="B55" s="550" t="s">
        <v>2099</v>
      </c>
      <c r="C55" s="352" t="s">
        <v>2061</v>
      </c>
      <c r="D55" s="556" t="s">
        <v>627</v>
      </c>
      <c r="E55" s="535">
        <v>8.06</v>
      </c>
      <c r="F55" s="535">
        <v>8.06</v>
      </c>
      <c r="G55" s="535">
        <f t="shared" si="1"/>
        <v>100</v>
      </c>
      <c r="H55" s="122">
        <v>383593</v>
      </c>
      <c r="I55" s="563">
        <v>338681.96</v>
      </c>
      <c r="J55" s="535">
        <f t="shared" si="0"/>
        <v>88.292007414108184</v>
      </c>
    </row>
    <row r="56" spans="1:10" ht="19.5" customHeight="1" x14ac:dyDescent="0.2">
      <c r="A56" s="125">
        <v>5</v>
      </c>
      <c r="B56" s="17" t="s">
        <v>2100</v>
      </c>
      <c r="C56" s="607"/>
      <c r="D56" s="556"/>
      <c r="E56" s="535"/>
      <c r="F56" s="535"/>
      <c r="G56" s="535"/>
      <c r="H56" s="123">
        <f>SUM(H57:H67)</f>
        <v>477650</v>
      </c>
      <c r="I56" s="288">
        <f>SUM(I57:I67)</f>
        <v>430654.75</v>
      </c>
      <c r="J56" s="564">
        <f t="shared" si="0"/>
        <v>90.161153564325346</v>
      </c>
    </row>
    <row r="57" spans="1:10" ht="19.5" customHeight="1" x14ac:dyDescent="0.2">
      <c r="A57" s="351">
        <v>5.0999999999999996</v>
      </c>
      <c r="B57" s="605" t="s">
        <v>98</v>
      </c>
      <c r="C57" s="607" t="s">
        <v>46</v>
      </c>
      <c r="D57" s="556" t="s">
        <v>220</v>
      </c>
      <c r="E57" s="583">
        <v>5</v>
      </c>
      <c r="F57" s="583">
        <v>5</v>
      </c>
      <c r="G57" s="535">
        <f t="shared" si="1"/>
        <v>100</v>
      </c>
      <c r="H57" s="122">
        <v>37167</v>
      </c>
      <c r="I57" s="311">
        <v>30941.8</v>
      </c>
      <c r="J57" s="535">
        <f t="shared" si="0"/>
        <v>83.250733177280921</v>
      </c>
    </row>
    <row r="58" spans="1:10" ht="25.5" customHeight="1" x14ac:dyDescent="0.2">
      <c r="A58" s="351">
        <v>5.2</v>
      </c>
      <c r="B58" s="605" t="s">
        <v>2101</v>
      </c>
      <c r="C58" s="607" t="s">
        <v>46</v>
      </c>
      <c r="D58" s="556" t="s">
        <v>2102</v>
      </c>
      <c r="E58" s="583">
        <v>147</v>
      </c>
      <c r="F58" s="591">
        <v>147</v>
      </c>
      <c r="G58" s="535">
        <f t="shared" si="1"/>
        <v>100</v>
      </c>
      <c r="H58" s="122">
        <v>21509</v>
      </c>
      <c r="I58" s="42">
        <v>9879.4500000000007</v>
      </c>
      <c r="J58" s="535">
        <f t="shared" si="0"/>
        <v>45.931703008043151</v>
      </c>
    </row>
    <row r="59" spans="1:10" ht="23.25" customHeight="1" x14ac:dyDescent="0.2">
      <c r="A59" s="351">
        <v>5.3</v>
      </c>
      <c r="B59" s="605" t="s">
        <v>2103</v>
      </c>
      <c r="C59" s="607" t="s">
        <v>46</v>
      </c>
      <c r="D59" s="272" t="s">
        <v>470</v>
      </c>
      <c r="E59" s="583">
        <v>3</v>
      </c>
      <c r="F59" s="591">
        <v>3</v>
      </c>
      <c r="G59" s="535">
        <f t="shared" si="1"/>
        <v>100</v>
      </c>
      <c r="H59" s="122">
        <v>12000</v>
      </c>
      <c r="I59" s="42">
        <v>12000</v>
      </c>
      <c r="J59" s="535">
        <f t="shared" si="0"/>
        <v>100</v>
      </c>
    </row>
    <row r="60" spans="1:10" ht="27" customHeight="1" x14ac:dyDescent="0.2">
      <c r="A60" s="351">
        <v>5.4</v>
      </c>
      <c r="B60" s="605" t="s">
        <v>2104</v>
      </c>
      <c r="C60" s="607" t="s">
        <v>46</v>
      </c>
      <c r="D60" s="556" t="s">
        <v>331</v>
      </c>
      <c r="E60" s="583">
        <v>260</v>
      </c>
      <c r="F60" s="591">
        <v>260</v>
      </c>
      <c r="G60" s="535">
        <f t="shared" si="1"/>
        <v>100</v>
      </c>
      <c r="H60" s="122">
        <v>16400</v>
      </c>
      <c r="I60" s="42">
        <v>15600</v>
      </c>
      <c r="J60" s="535">
        <f t="shared" si="0"/>
        <v>95.121951219512198</v>
      </c>
    </row>
    <row r="61" spans="1:10" ht="19.5" customHeight="1" x14ac:dyDescent="0.2">
      <c r="A61" s="351">
        <v>5.5</v>
      </c>
      <c r="B61" s="605" t="s">
        <v>2105</v>
      </c>
      <c r="C61" s="607" t="s">
        <v>46</v>
      </c>
      <c r="D61" s="272" t="s">
        <v>2091</v>
      </c>
      <c r="E61" s="583">
        <v>2198</v>
      </c>
      <c r="F61" s="591">
        <v>2198</v>
      </c>
      <c r="G61" s="535">
        <f t="shared" si="1"/>
        <v>100</v>
      </c>
      <c r="H61" s="122">
        <v>68171</v>
      </c>
      <c r="I61" s="42">
        <v>62903.5</v>
      </c>
      <c r="J61" s="535">
        <f t="shared" si="0"/>
        <v>92.273107333030168</v>
      </c>
    </row>
    <row r="62" spans="1:10" ht="19.5" customHeight="1" x14ac:dyDescent="0.2">
      <c r="A62" s="351">
        <v>5.6</v>
      </c>
      <c r="B62" s="605" t="s">
        <v>2106</v>
      </c>
      <c r="C62" s="607" t="s">
        <v>2107</v>
      </c>
      <c r="D62" s="272" t="s">
        <v>2091</v>
      </c>
      <c r="E62" s="583">
        <v>48</v>
      </c>
      <c r="F62" s="591">
        <v>48</v>
      </c>
      <c r="G62" s="535">
        <f t="shared" si="1"/>
        <v>100</v>
      </c>
      <c r="H62" s="122">
        <v>4000</v>
      </c>
      <c r="I62" s="42">
        <v>1590</v>
      </c>
      <c r="J62" s="535">
        <f t="shared" si="0"/>
        <v>39.75</v>
      </c>
    </row>
    <row r="63" spans="1:10" ht="28.5" customHeight="1" x14ac:dyDescent="0.2">
      <c r="A63" s="351">
        <v>5.7</v>
      </c>
      <c r="B63" s="605" t="s">
        <v>2108</v>
      </c>
      <c r="C63" s="352" t="s">
        <v>46</v>
      </c>
      <c r="D63" s="556" t="s">
        <v>2109</v>
      </c>
      <c r="E63" s="583">
        <v>18000</v>
      </c>
      <c r="F63" s="583">
        <v>14819</v>
      </c>
      <c r="G63" s="535">
        <f t="shared" si="1"/>
        <v>82.327777777777783</v>
      </c>
      <c r="H63" s="122">
        <v>262830</v>
      </c>
      <c r="I63" s="42">
        <v>252167</v>
      </c>
      <c r="J63" s="535">
        <f t="shared" si="0"/>
        <v>95.943004984210333</v>
      </c>
    </row>
    <row r="64" spans="1:10" ht="28.5" customHeight="1" x14ac:dyDescent="0.2">
      <c r="A64" s="351">
        <v>5.8</v>
      </c>
      <c r="B64" s="605" t="s">
        <v>2110</v>
      </c>
      <c r="C64" s="352" t="s">
        <v>189</v>
      </c>
      <c r="D64" s="556" t="s">
        <v>2109</v>
      </c>
      <c r="E64" s="583">
        <v>3300</v>
      </c>
      <c r="F64" s="583">
        <v>3300</v>
      </c>
      <c r="G64" s="535">
        <f t="shared" si="1"/>
        <v>100</v>
      </c>
      <c r="H64" s="122">
        <v>10000</v>
      </c>
      <c r="I64" s="42">
        <v>10000</v>
      </c>
      <c r="J64" s="535">
        <f t="shared" si="0"/>
        <v>100</v>
      </c>
    </row>
    <row r="65" spans="1:10" ht="28.5" customHeight="1" x14ac:dyDescent="0.2">
      <c r="A65" s="351">
        <v>5.9</v>
      </c>
      <c r="B65" s="605" t="s">
        <v>2111</v>
      </c>
      <c r="C65" s="352" t="s">
        <v>46</v>
      </c>
      <c r="D65" s="272" t="s">
        <v>2266</v>
      </c>
      <c r="E65" s="583">
        <v>1910</v>
      </c>
      <c r="F65" s="591">
        <v>1910</v>
      </c>
      <c r="G65" s="535">
        <f t="shared" si="1"/>
        <v>100</v>
      </c>
      <c r="H65" s="122">
        <v>20573</v>
      </c>
      <c r="I65" s="42">
        <v>10573</v>
      </c>
      <c r="J65" s="535">
        <f t="shared" si="0"/>
        <v>51.392601954017401</v>
      </c>
    </row>
    <row r="66" spans="1:10" ht="29.25" customHeight="1" x14ac:dyDescent="0.2">
      <c r="A66" s="551">
        <v>5.0999999999999996</v>
      </c>
      <c r="B66" s="605" t="s">
        <v>2112</v>
      </c>
      <c r="C66" s="352" t="s">
        <v>189</v>
      </c>
      <c r="D66" s="272" t="s">
        <v>2266</v>
      </c>
      <c r="E66" s="583">
        <v>72</v>
      </c>
      <c r="F66" s="591">
        <v>72</v>
      </c>
      <c r="G66" s="535">
        <f t="shared" si="1"/>
        <v>100</v>
      </c>
      <c r="H66" s="122">
        <v>25000</v>
      </c>
      <c r="I66" s="42">
        <v>25000</v>
      </c>
      <c r="J66" s="535">
        <f t="shared" si="0"/>
        <v>100</v>
      </c>
    </row>
    <row r="67" spans="1:10" ht="25.5" customHeight="1" x14ac:dyDescent="0.2">
      <c r="A67" s="551">
        <v>5.1100000000000003</v>
      </c>
      <c r="B67" s="605" t="s">
        <v>2113</v>
      </c>
      <c r="C67" s="352" t="s">
        <v>46</v>
      </c>
      <c r="D67" s="272" t="s">
        <v>1002</v>
      </c>
      <c r="E67" s="583">
        <v>0</v>
      </c>
      <c r="F67" s="591">
        <v>0</v>
      </c>
      <c r="G67" s="535">
        <v>0</v>
      </c>
      <c r="H67" s="122">
        <v>0</v>
      </c>
      <c r="I67" s="42">
        <v>0</v>
      </c>
      <c r="J67" s="535">
        <v>0</v>
      </c>
    </row>
    <row r="68" spans="1:10" ht="22.5" customHeight="1" x14ac:dyDescent="0.2">
      <c r="A68" s="125">
        <v>6</v>
      </c>
      <c r="B68" s="283" t="s">
        <v>2114</v>
      </c>
      <c r="C68" s="352"/>
      <c r="D68" s="272"/>
      <c r="E68" s="583"/>
      <c r="F68" s="591"/>
      <c r="G68" s="535"/>
      <c r="H68" s="123">
        <f>+H69+H74+H75+H76+H77+H78+H79</f>
        <v>8804590</v>
      </c>
      <c r="I68" s="580">
        <f>+I69+I74+I75+I76+I77+I78+I79</f>
        <v>8772445.4299999997</v>
      </c>
      <c r="J68" s="564">
        <f t="shared" si="0"/>
        <v>99.634911222441929</v>
      </c>
    </row>
    <row r="69" spans="1:10" ht="33" customHeight="1" x14ac:dyDescent="0.2">
      <c r="A69" s="351">
        <v>6.1</v>
      </c>
      <c r="B69" s="350" t="s">
        <v>632</v>
      </c>
      <c r="C69" s="352" t="s">
        <v>46</v>
      </c>
      <c r="D69" s="272" t="s">
        <v>52</v>
      </c>
      <c r="E69" s="583">
        <v>600</v>
      </c>
      <c r="F69" s="583">
        <v>600</v>
      </c>
      <c r="G69" s="535">
        <f t="shared" si="1"/>
        <v>100</v>
      </c>
      <c r="H69" s="122">
        <f>4889947-396510</f>
        <v>4493437</v>
      </c>
      <c r="I69" s="581">
        <f>4601046.67-396508+857982.8</f>
        <v>5062521.47</v>
      </c>
      <c r="J69" s="535">
        <f t="shared" si="0"/>
        <v>112.66479245174685</v>
      </c>
    </row>
    <row r="70" spans="1:10" ht="24" customHeight="1" x14ac:dyDescent="0.2">
      <c r="A70" s="351"/>
      <c r="B70" s="350" t="s">
        <v>1912</v>
      </c>
      <c r="C70" s="352" t="s">
        <v>46</v>
      </c>
      <c r="D70" s="272" t="s">
        <v>512</v>
      </c>
      <c r="E70" s="583">
        <v>13</v>
      </c>
      <c r="F70" s="583">
        <v>13</v>
      </c>
      <c r="G70" s="535">
        <f t="shared" si="1"/>
        <v>100</v>
      </c>
      <c r="H70" s="122">
        <v>478060</v>
      </c>
      <c r="I70" s="311">
        <v>455584.23</v>
      </c>
      <c r="J70" s="535">
        <f t="shared" si="0"/>
        <v>95.298546207589013</v>
      </c>
    </row>
    <row r="71" spans="1:10" ht="23.25" customHeight="1" x14ac:dyDescent="0.2">
      <c r="A71" s="351"/>
      <c r="B71" s="350" t="s">
        <v>1913</v>
      </c>
      <c r="C71" s="352" t="s">
        <v>46</v>
      </c>
      <c r="D71" s="272" t="s">
        <v>1914</v>
      </c>
      <c r="E71" s="583">
        <v>2</v>
      </c>
      <c r="F71" s="583">
        <v>2</v>
      </c>
      <c r="G71" s="535">
        <f t="shared" si="1"/>
        <v>100</v>
      </c>
      <c r="H71" s="122">
        <v>13851</v>
      </c>
      <c r="I71" s="311">
        <v>13851</v>
      </c>
      <c r="J71" s="535">
        <f t="shared" si="0"/>
        <v>100</v>
      </c>
    </row>
    <row r="72" spans="1:10" ht="21" customHeight="1" x14ac:dyDescent="0.2">
      <c r="A72" s="351"/>
      <c r="B72" s="350" t="s">
        <v>1915</v>
      </c>
      <c r="C72" s="352" t="s">
        <v>46</v>
      </c>
      <c r="D72" s="272" t="s">
        <v>1916</v>
      </c>
      <c r="E72" s="583">
        <v>1</v>
      </c>
      <c r="F72" s="583">
        <v>1</v>
      </c>
      <c r="G72" s="535">
        <f t="shared" si="1"/>
        <v>100</v>
      </c>
      <c r="H72" s="122">
        <v>0</v>
      </c>
      <c r="I72" s="311">
        <v>0</v>
      </c>
      <c r="J72" s="535">
        <v>0</v>
      </c>
    </row>
    <row r="73" spans="1:10" ht="18.75" customHeight="1" x14ac:dyDescent="0.2">
      <c r="A73" s="351"/>
      <c r="B73" s="350" t="s">
        <v>1917</v>
      </c>
      <c r="C73" s="352" t="s">
        <v>46</v>
      </c>
      <c r="D73" s="272" t="s">
        <v>1918</v>
      </c>
      <c r="E73" s="583">
        <v>12</v>
      </c>
      <c r="F73" s="583">
        <v>12</v>
      </c>
      <c r="G73" s="535">
        <f t="shared" si="1"/>
        <v>100</v>
      </c>
      <c r="H73" s="122">
        <v>26652</v>
      </c>
      <c r="I73" s="311">
        <v>24994.47</v>
      </c>
      <c r="J73" s="535">
        <f t="shared" si="0"/>
        <v>93.780841963079695</v>
      </c>
    </row>
    <row r="74" spans="1:10" ht="21.75" customHeight="1" x14ac:dyDescent="0.2">
      <c r="A74" s="351">
        <v>6.2</v>
      </c>
      <c r="B74" s="350" t="s">
        <v>633</v>
      </c>
      <c r="C74" s="352" t="s">
        <v>168</v>
      </c>
      <c r="D74" s="272" t="s">
        <v>52</v>
      </c>
      <c r="E74" s="583">
        <v>300</v>
      </c>
      <c r="F74" s="583">
        <v>300</v>
      </c>
      <c r="G74" s="535">
        <f t="shared" si="1"/>
        <v>100</v>
      </c>
      <c r="H74" s="122">
        <v>493861</v>
      </c>
      <c r="I74" s="42">
        <v>489241.06</v>
      </c>
      <c r="J74" s="535">
        <f t="shared" si="0"/>
        <v>99.064526253338485</v>
      </c>
    </row>
    <row r="75" spans="1:10" ht="23.25" customHeight="1" x14ac:dyDescent="0.2">
      <c r="A75" s="351">
        <v>6.3</v>
      </c>
      <c r="B75" s="350" t="s">
        <v>634</v>
      </c>
      <c r="C75" s="352" t="s">
        <v>189</v>
      </c>
      <c r="D75" s="272" t="s">
        <v>52</v>
      </c>
      <c r="E75" s="583">
        <v>300</v>
      </c>
      <c r="F75" s="583">
        <v>300</v>
      </c>
      <c r="G75" s="535">
        <f t="shared" si="1"/>
        <v>100</v>
      </c>
      <c r="H75" s="122">
        <v>667024</v>
      </c>
      <c r="I75" s="42">
        <v>664982.64</v>
      </c>
      <c r="J75" s="535">
        <f t="shared" si="0"/>
        <v>99.693960037419942</v>
      </c>
    </row>
    <row r="76" spans="1:10" ht="27" customHeight="1" x14ac:dyDescent="0.2">
      <c r="A76" s="351">
        <v>6.4</v>
      </c>
      <c r="B76" s="350" t="s">
        <v>635</v>
      </c>
      <c r="C76" s="352" t="s">
        <v>46</v>
      </c>
      <c r="D76" s="272" t="s">
        <v>52</v>
      </c>
      <c r="E76" s="583">
        <v>339</v>
      </c>
      <c r="F76" s="583">
        <v>339</v>
      </c>
      <c r="G76" s="535">
        <f t="shared" si="1"/>
        <v>100</v>
      </c>
      <c r="H76" s="122">
        <v>378951</v>
      </c>
      <c r="I76" s="42">
        <v>378949.53</v>
      </c>
      <c r="J76" s="535">
        <f t="shared" si="0"/>
        <v>99.999612087050835</v>
      </c>
    </row>
    <row r="77" spans="1:10" ht="25.5" customHeight="1" x14ac:dyDescent="0.2">
      <c r="A77" s="351">
        <v>6.5</v>
      </c>
      <c r="B77" s="605" t="s">
        <v>636</v>
      </c>
      <c r="C77" s="352" t="s">
        <v>46</v>
      </c>
      <c r="D77" s="173" t="s">
        <v>637</v>
      </c>
      <c r="E77" s="584">
        <v>248</v>
      </c>
      <c r="F77" s="584">
        <v>227</v>
      </c>
      <c r="G77" s="535">
        <f t="shared" si="1"/>
        <v>91.532258064516128</v>
      </c>
      <c r="H77" s="122">
        <v>1701545</v>
      </c>
      <c r="I77" s="581">
        <v>1213673.46</v>
      </c>
      <c r="J77" s="535">
        <f t="shared" si="0"/>
        <v>71.327732149311359</v>
      </c>
    </row>
    <row r="78" spans="1:10" ht="25.5" customHeight="1" x14ac:dyDescent="0.2">
      <c r="A78" s="351">
        <v>6.6</v>
      </c>
      <c r="B78" s="605" t="s">
        <v>416</v>
      </c>
      <c r="C78" s="352" t="s">
        <v>46</v>
      </c>
      <c r="D78" s="272" t="s">
        <v>81</v>
      </c>
      <c r="E78" s="583">
        <v>12</v>
      </c>
      <c r="F78" s="583">
        <v>12</v>
      </c>
      <c r="G78" s="535">
        <f t="shared" si="1"/>
        <v>100</v>
      </c>
      <c r="H78" s="122">
        <v>810622</v>
      </c>
      <c r="I78" s="42">
        <v>809928.56</v>
      </c>
      <c r="J78" s="535">
        <f t="shared" si="0"/>
        <v>99.914455812943643</v>
      </c>
    </row>
    <row r="79" spans="1:10" ht="24.75" customHeight="1" x14ac:dyDescent="0.2">
      <c r="A79" s="351">
        <v>6.7</v>
      </c>
      <c r="B79" s="605" t="s">
        <v>638</v>
      </c>
      <c r="C79" s="352" t="s">
        <v>46</v>
      </c>
      <c r="D79" s="272" t="s">
        <v>81</v>
      </c>
      <c r="E79" s="583">
        <v>12</v>
      </c>
      <c r="F79" s="583">
        <v>12</v>
      </c>
      <c r="G79" s="535">
        <f t="shared" si="1"/>
        <v>100</v>
      </c>
      <c r="H79" s="122">
        <v>259150</v>
      </c>
      <c r="I79" s="42">
        <v>153148.71</v>
      </c>
      <c r="J79" s="535">
        <f t="shared" si="0"/>
        <v>59.096550260466913</v>
      </c>
    </row>
    <row r="80" spans="1:10" ht="22.5" customHeight="1" x14ac:dyDescent="0.2">
      <c r="A80" s="125">
        <v>7</v>
      </c>
      <c r="B80" s="283" t="s">
        <v>1484</v>
      </c>
      <c r="C80" s="352"/>
      <c r="D80" s="272"/>
      <c r="E80" s="583"/>
      <c r="F80" s="535"/>
      <c r="G80" s="535"/>
      <c r="H80" s="123">
        <f>+H81</f>
        <v>2000000</v>
      </c>
      <c r="I80" s="288">
        <f>+I81</f>
        <v>886856.44</v>
      </c>
      <c r="J80" s="564">
        <f>(I80*100)/H80</f>
        <v>44.342821999999998</v>
      </c>
    </row>
    <row r="81" spans="1:10" ht="27" customHeight="1" x14ac:dyDescent="0.2">
      <c r="A81" s="351">
        <v>7.1</v>
      </c>
      <c r="B81" s="605" t="s">
        <v>1483</v>
      </c>
      <c r="C81" s="352" t="s">
        <v>46</v>
      </c>
      <c r="D81" s="272" t="s">
        <v>627</v>
      </c>
      <c r="E81" s="583">
        <v>1.7</v>
      </c>
      <c r="F81" s="535"/>
      <c r="G81" s="535">
        <f>(F81*100)/E81</f>
        <v>0</v>
      </c>
      <c r="H81" s="122">
        <v>2000000</v>
      </c>
      <c r="I81" s="42">
        <v>886856.44</v>
      </c>
      <c r="J81" s="535">
        <f>(I81*100)/H81</f>
        <v>44.342821999999998</v>
      </c>
    </row>
    <row r="82" spans="1:10" ht="21.75" customHeight="1" x14ac:dyDescent="0.2">
      <c r="A82" s="340" t="s">
        <v>1024</v>
      </c>
      <c r="B82" s="465"/>
      <c r="C82" s="555"/>
      <c r="D82" s="354"/>
      <c r="E82" s="325"/>
      <c r="F82" s="320"/>
      <c r="G82" s="545"/>
      <c r="H82" s="325">
        <f>SUM(H83:H86)</f>
        <v>3495367</v>
      </c>
      <c r="I82" s="582">
        <f>SUM(I83:I86)</f>
        <v>2564726</v>
      </c>
      <c r="J82" s="545">
        <f t="shared" ref="J82:J87" si="2">(I82*100)/H82</f>
        <v>73.375013267562466</v>
      </c>
    </row>
    <row r="83" spans="1:10" ht="24.75" customHeight="1" x14ac:dyDescent="0.2">
      <c r="A83" s="1071">
        <v>1</v>
      </c>
      <c r="B83" s="1039" t="s">
        <v>1067</v>
      </c>
      <c r="C83" s="1073" t="s">
        <v>168</v>
      </c>
      <c r="D83" s="607" t="s">
        <v>1068</v>
      </c>
      <c r="E83" s="122">
        <v>2</v>
      </c>
      <c r="F83" s="690">
        <v>2</v>
      </c>
      <c r="G83" s="535">
        <f>(F83*100)/E83</f>
        <v>100</v>
      </c>
      <c r="H83" s="1069">
        <v>960512</v>
      </c>
      <c r="I83" s="1080">
        <v>939884</v>
      </c>
      <c r="J83" s="1078">
        <f t="shared" si="2"/>
        <v>97.852395389125803</v>
      </c>
    </row>
    <row r="84" spans="1:10" ht="15.75" customHeight="1" x14ac:dyDescent="0.2">
      <c r="A84" s="1072"/>
      <c r="B84" s="1040"/>
      <c r="C84" s="1074"/>
      <c r="D84" s="607" t="s">
        <v>1069</v>
      </c>
      <c r="E84" s="122">
        <v>5</v>
      </c>
      <c r="F84" s="690">
        <v>5</v>
      </c>
      <c r="G84" s="535">
        <f>(F84*100)/E84</f>
        <v>100</v>
      </c>
      <c r="H84" s="1070"/>
      <c r="I84" s="1081"/>
      <c r="J84" s="1079"/>
    </row>
    <row r="85" spans="1:10" ht="26.25" customHeight="1" x14ac:dyDescent="0.2">
      <c r="A85" s="1071">
        <v>2</v>
      </c>
      <c r="B85" s="1039" t="s">
        <v>1919</v>
      </c>
      <c r="C85" s="1073" t="s">
        <v>168</v>
      </c>
      <c r="D85" s="607" t="s">
        <v>1070</v>
      </c>
      <c r="E85" s="311">
        <v>8.879999999999999</v>
      </c>
      <c r="F85" s="691">
        <v>8.8800000000000008</v>
      </c>
      <c r="G85" s="535">
        <f>(F85*100)/E85</f>
        <v>100.00000000000003</v>
      </c>
      <c r="H85" s="1069">
        <v>2534855</v>
      </c>
      <c r="I85" s="1082">
        <v>1624842</v>
      </c>
      <c r="J85" s="1078">
        <f t="shared" si="2"/>
        <v>64.099997830250643</v>
      </c>
    </row>
    <row r="86" spans="1:10" ht="25.5" customHeight="1" x14ac:dyDescent="0.2">
      <c r="A86" s="1072"/>
      <c r="B86" s="1040"/>
      <c r="C86" s="1074"/>
      <c r="D86" s="607" t="s">
        <v>1464</v>
      </c>
      <c r="E86" s="311">
        <v>67</v>
      </c>
      <c r="F86" s="690">
        <v>67</v>
      </c>
      <c r="G86" s="535">
        <f>(F86*100)/E86</f>
        <v>100</v>
      </c>
      <c r="H86" s="1070"/>
      <c r="I86" s="1083"/>
      <c r="J86" s="1079"/>
    </row>
    <row r="87" spans="1:10" ht="23.25" customHeight="1" x14ac:dyDescent="0.2">
      <c r="A87" s="340" t="s">
        <v>1025</v>
      </c>
      <c r="B87" s="465"/>
      <c r="C87" s="555"/>
      <c r="D87" s="354"/>
      <c r="E87" s="320"/>
      <c r="F87" s="320"/>
      <c r="G87" s="559"/>
      <c r="H87" s="325">
        <f>SUM(H88:H109)</f>
        <v>4872653</v>
      </c>
      <c r="I87" s="582">
        <f>SUM(I88:I109)</f>
        <v>4789195.46</v>
      </c>
      <c r="J87" s="545">
        <f t="shared" si="2"/>
        <v>98.287225870588358</v>
      </c>
    </row>
    <row r="88" spans="1:10" ht="18.75" customHeight="1" x14ac:dyDescent="0.2">
      <c r="A88" s="960">
        <v>1</v>
      </c>
      <c r="B88" s="1066" t="s">
        <v>1071</v>
      </c>
      <c r="C88" s="965" t="s">
        <v>170</v>
      </c>
      <c r="D88" s="164" t="s">
        <v>1492</v>
      </c>
      <c r="E88" s="16">
        <v>100</v>
      </c>
      <c r="F88" s="38">
        <v>100</v>
      </c>
      <c r="G88" s="277">
        <f>+F88*100/E88</f>
        <v>100</v>
      </c>
      <c r="H88" s="967">
        <v>1906192</v>
      </c>
      <c r="I88" s="1084">
        <v>1901556.27</v>
      </c>
      <c r="J88" s="958">
        <f>+I88*100/H88</f>
        <v>99.756806764481226</v>
      </c>
    </row>
    <row r="89" spans="1:10" ht="18.75" customHeight="1" x14ac:dyDescent="0.2">
      <c r="A89" s="961"/>
      <c r="B89" s="1067"/>
      <c r="C89" s="966"/>
      <c r="D89" s="164" t="s">
        <v>1456</v>
      </c>
      <c r="E89" s="16">
        <v>60</v>
      </c>
      <c r="F89" s="38">
        <v>60</v>
      </c>
      <c r="G89" s="277">
        <f t="shared" ref="G89:G98" si="3">+F89*100/E89</f>
        <v>100</v>
      </c>
      <c r="H89" s="968"/>
      <c r="I89" s="1085"/>
      <c r="J89" s="970"/>
    </row>
    <row r="90" spans="1:10" ht="23.25" customHeight="1" x14ac:dyDescent="0.2">
      <c r="A90" s="961"/>
      <c r="B90" s="1067"/>
      <c r="C90" s="966"/>
      <c r="D90" s="164" t="s">
        <v>1457</v>
      </c>
      <c r="E90" s="16">
        <v>2</v>
      </c>
      <c r="F90" s="38">
        <v>2</v>
      </c>
      <c r="G90" s="277">
        <f t="shared" si="3"/>
        <v>100</v>
      </c>
      <c r="H90" s="968"/>
      <c r="I90" s="1085"/>
      <c r="J90" s="970"/>
    </row>
    <row r="91" spans="1:10" ht="27" customHeight="1" x14ac:dyDescent="0.2">
      <c r="A91" s="961"/>
      <c r="B91" s="1067"/>
      <c r="C91" s="966"/>
      <c r="D91" s="164" t="s">
        <v>2043</v>
      </c>
      <c r="E91" s="16">
        <v>149</v>
      </c>
      <c r="F91" s="16">
        <v>149</v>
      </c>
      <c r="G91" s="277">
        <f t="shared" si="3"/>
        <v>100</v>
      </c>
      <c r="H91" s="968"/>
      <c r="I91" s="1085"/>
      <c r="J91" s="970"/>
    </row>
    <row r="92" spans="1:10" ht="27" customHeight="1" x14ac:dyDescent="0.2">
      <c r="A92" s="961"/>
      <c r="B92" s="1067"/>
      <c r="C92" s="966"/>
      <c r="D92" s="164" t="s">
        <v>2267</v>
      </c>
      <c r="E92" s="16">
        <v>149</v>
      </c>
      <c r="F92" s="16">
        <v>149</v>
      </c>
      <c r="G92" s="277">
        <f t="shared" si="3"/>
        <v>100</v>
      </c>
      <c r="H92" s="968"/>
      <c r="I92" s="1085"/>
      <c r="J92" s="970"/>
    </row>
    <row r="93" spans="1:10" ht="21" customHeight="1" x14ac:dyDescent="0.2">
      <c r="A93" s="961"/>
      <c r="B93" s="1067"/>
      <c r="C93" s="966"/>
      <c r="D93" s="164" t="s">
        <v>1458</v>
      </c>
      <c r="E93" s="16">
        <v>125</v>
      </c>
      <c r="F93" s="38">
        <v>125</v>
      </c>
      <c r="G93" s="277">
        <f t="shared" si="3"/>
        <v>100</v>
      </c>
      <c r="H93" s="968"/>
      <c r="I93" s="1085"/>
      <c r="J93" s="970"/>
    </row>
    <row r="94" spans="1:10" ht="27" customHeight="1" x14ac:dyDescent="0.2">
      <c r="A94" s="961"/>
      <c r="B94" s="1067"/>
      <c r="C94" s="966"/>
      <c r="D94" s="164" t="s">
        <v>1459</v>
      </c>
      <c r="E94" s="16">
        <v>99</v>
      </c>
      <c r="F94" s="38">
        <v>99</v>
      </c>
      <c r="G94" s="277">
        <f t="shared" si="3"/>
        <v>100</v>
      </c>
      <c r="H94" s="968"/>
      <c r="I94" s="1085"/>
      <c r="J94" s="970"/>
    </row>
    <row r="95" spans="1:10" ht="27" customHeight="1" x14ac:dyDescent="0.2">
      <c r="A95" s="961"/>
      <c r="B95" s="1067"/>
      <c r="C95" s="966"/>
      <c r="D95" s="164" t="s">
        <v>1072</v>
      </c>
      <c r="E95" s="16">
        <v>80</v>
      </c>
      <c r="F95" s="38">
        <v>80</v>
      </c>
      <c r="G95" s="277">
        <f t="shared" si="3"/>
        <v>100</v>
      </c>
      <c r="H95" s="968"/>
      <c r="I95" s="1085"/>
      <c r="J95" s="970"/>
    </row>
    <row r="96" spans="1:10" ht="22.5" customHeight="1" x14ac:dyDescent="0.2">
      <c r="A96" s="961"/>
      <c r="B96" s="1067"/>
      <c r="C96" s="966"/>
      <c r="D96" s="164" t="s">
        <v>1460</v>
      </c>
      <c r="E96" s="16">
        <v>2</v>
      </c>
      <c r="F96" s="38">
        <v>2</v>
      </c>
      <c r="G96" s="277">
        <f t="shared" si="3"/>
        <v>100</v>
      </c>
      <c r="H96" s="968"/>
      <c r="I96" s="1085"/>
      <c r="J96" s="970"/>
    </row>
    <row r="97" spans="1:10" ht="27" customHeight="1" x14ac:dyDescent="0.2">
      <c r="A97" s="961"/>
      <c r="B97" s="1067"/>
      <c r="C97" s="966"/>
      <c r="D97" s="164" t="s">
        <v>1461</v>
      </c>
      <c r="E97" s="16">
        <v>2</v>
      </c>
      <c r="F97" s="38">
        <v>2</v>
      </c>
      <c r="G97" s="277">
        <f t="shared" si="3"/>
        <v>100</v>
      </c>
      <c r="H97" s="968"/>
      <c r="I97" s="1085"/>
      <c r="J97" s="970"/>
    </row>
    <row r="98" spans="1:10" ht="21.75" customHeight="1" x14ac:dyDescent="0.2">
      <c r="A98" s="961"/>
      <c r="B98" s="1067"/>
      <c r="C98" s="966"/>
      <c r="D98" s="164" t="s">
        <v>1462</v>
      </c>
      <c r="E98" s="16">
        <v>80</v>
      </c>
      <c r="F98" s="38">
        <v>80</v>
      </c>
      <c r="G98" s="277">
        <f t="shared" si="3"/>
        <v>100</v>
      </c>
      <c r="H98" s="968"/>
      <c r="I98" s="1085"/>
      <c r="J98" s="970"/>
    </row>
    <row r="99" spans="1:10" ht="37.5" customHeight="1" x14ac:dyDescent="0.2">
      <c r="A99" s="962"/>
      <c r="B99" s="1068"/>
      <c r="C99" s="977"/>
      <c r="D99" s="164" t="s">
        <v>1463</v>
      </c>
      <c r="E99" s="16">
        <v>81</v>
      </c>
      <c r="F99" s="38">
        <v>81</v>
      </c>
      <c r="G99" s="277">
        <f>+F99*100/E99</f>
        <v>100</v>
      </c>
      <c r="H99" s="969"/>
      <c r="I99" s="1086"/>
      <c r="J99" s="959"/>
    </row>
    <row r="100" spans="1:10" ht="22.5" customHeight="1" x14ac:dyDescent="0.2">
      <c r="A100" s="960">
        <v>2</v>
      </c>
      <c r="B100" s="1000" t="s">
        <v>1466</v>
      </c>
      <c r="C100" s="965" t="s">
        <v>170</v>
      </c>
      <c r="D100" s="164" t="s">
        <v>1920</v>
      </c>
      <c r="E100" s="277">
        <v>12.1</v>
      </c>
      <c r="F100" s="277">
        <v>12.1</v>
      </c>
      <c r="G100" s="277">
        <f>+F100*100/E100</f>
        <v>100</v>
      </c>
      <c r="H100" s="967">
        <v>1806024</v>
      </c>
      <c r="I100" s="1084">
        <v>1805696.94</v>
      </c>
      <c r="J100" s="958">
        <f>+I100*100/H100</f>
        <v>99.981890606104898</v>
      </c>
    </row>
    <row r="101" spans="1:10" ht="23.25" customHeight="1" x14ac:dyDescent="0.2">
      <c r="A101" s="961"/>
      <c r="B101" s="1001"/>
      <c r="C101" s="966"/>
      <c r="D101" s="164" t="s">
        <v>1921</v>
      </c>
      <c r="E101" s="277">
        <v>12.1</v>
      </c>
      <c r="F101" s="277">
        <v>12.1</v>
      </c>
      <c r="G101" s="277">
        <f t="shared" ref="G101:G106" si="4">+F101*100/E101</f>
        <v>100</v>
      </c>
      <c r="H101" s="968"/>
      <c r="I101" s="1085"/>
      <c r="J101" s="970"/>
    </row>
    <row r="102" spans="1:10" ht="22.5" customHeight="1" x14ac:dyDescent="0.2">
      <c r="A102" s="961"/>
      <c r="B102" s="1001"/>
      <c r="C102" s="966"/>
      <c r="D102" s="164" t="s">
        <v>1922</v>
      </c>
      <c r="E102" s="38">
        <v>6</v>
      </c>
      <c r="F102" s="38">
        <v>6</v>
      </c>
      <c r="G102" s="277">
        <f t="shared" si="4"/>
        <v>100</v>
      </c>
      <c r="H102" s="968"/>
      <c r="I102" s="1085"/>
      <c r="J102" s="970"/>
    </row>
    <row r="103" spans="1:10" ht="21" customHeight="1" x14ac:dyDescent="0.2">
      <c r="A103" s="961"/>
      <c r="B103" s="1001"/>
      <c r="C103" s="966"/>
      <c r="D103" s="164" t="s">
        <v>1957</v>
      </c>
      <c r="E103" s="38">
        <v>6</v>
      </c>
      <c r="F103" s="38">
        <v>6</v>
      </c>
      <c r="G103" s="277">
        <f t="shared" si="4"/>
        <v>100</v>
      </c>
      <c r="H103" s="968"/>
      <c r="I103" s="1085"/>
      <c r="J103" s="970"/>
    </row>
    <row r="104" spans="1:10" ht="25.5" customHeight="1" x14ac:dyDescent="0.2">
      <c r="A104" s="961"/>
      <c r="B104" s="1001"/>
      <c r="C104" s="966"/>
      <c r="D104" s="164" t="s">
        <v>2008</v>
      </c>
      <c r="E104" s="38">
        <v>11</v>
      </c>
      <c r="F104" s="38">
        <v>11</v>
      </c>
      <c r="G104" s="277">
        <f t="shared" si="4"/>
        <v>100</v>
      </c>
      <c r="H104" s="968"/>
      <c r="I104" s="1085"/>
      <c r="J104" s="970"/>
    </row>
    <row r="105" spans="1:10" ht="27" customHeight="1" x14ac:dyDescent="0.2">
      <c r="A105" s="961"/>
      <c r="B105" s="1001"/>
      <c r="C105" s="966"/>
      <c r="D105" s="164" t="s">
        <v>1923</v>
      </c>
      <c r="E105" s="38">
        <v>24</v>
      </c>
      <c r="F105" s="38">
        <v>24</v>
      </c>
      <c r="G105" s="277">
        <f t="shared" si="4"/>
        <v>100</v>
      </c>
      <c r="H105" s="968"/>
      <c r="I105" s="1085"/>
      <c r="J105" s="970"/>
    </row>
    <row r="106" spans="1:10" ht="27" customHeight="1" x14ac:dyDescent="0.2">
      <c r="A106" s="962"/>
      <c r="B106" s="1002"/>
      <c r="C106" s="977"/>
      <c r="D106" s="164" t="s">
        <v>1924</v>
      </c>
      <c r="E106" s="277">
        <v>12.1</v>
      </c>
      <c r="F106" s="277">
        <v>12.1</v>
      </c>
      <c r="G106" s="277">
        <f t="shared" si="4"/>
        <v>100</v>
      </c>
      <c r="H106" s="969"/>
      <c r="I106" s="1086"/>
      <c r="J106" s="959"/>
    </row>
    <row r="107" spans="1:10" s="127" customFormat="1" ht="27.75" customHeight="1" x14ac:dyDescent="0.25">
      <c r="A107" s="43">
        <v>4</v>
      </c>
      <c r="B107" s="621" t="s">
        <v>1279</v>
      </c>
      <c r="C107" s="623" t="s">
        <v>170</v>
      </c>
      <c r="D107" s="623" t="s">
        <v>1280</v>
      </c>
      <c r="E107" s="277">
        <v>0</v>
      </c>
      <c r="F107" s="624">
        <v>0</v>
      </c>
      <c r="G107" s="277">
        <v>0</v>
      </c>
      <c r="H107" s="16">
        <v>0</v>
      </c>
      <c r="I107" s="42">
        <v>0</v>
      </c>
      <c r="J107" s="42">
        <v>0</v>
      </c>
    </row>
    <row r="108" spans="1:10" s="127" customFormat="1" ht="31.5" customHeight="1" x14ac:dyDescent="0.25">
      <c r="A108" s="43">
        <v>5</v>
      </c>
      <c r="B108" s="692" t="s">
        <v>1465</v>
      </c>
      <c r="C108" s="623" t="s">
        <v>170</v>
      </c>
      <c r="D108" s="693"/>
      <c r="E108" s="277"/>
      <c r="F108" s="624"/>
      <c r="G108" s="694"/>
      <c r="H108" s="695">
        <v>391303</v>
      </c>
      <c r="I108" s="696">
        <v>391303</v>
      </c>
      <c r="J108" s="42">
        <f>+I108/H108*100</f>
        <v>100</v>
      </c>
    </row>
    <row r="109" spans="1:10" s="127" customFormat="1" ht="27.75" customHeight="1" x14ac:dyDescent="0.25">
      <c r="A109" s="43">
        <v>6</v>
      </c>
      <c r="B109" s="19" t="s">
        <v>1467</v>
      </c>
      <c r="C109" s="623" t="s">
        <v>170</v>
      </c>
      <c r="D109" s="697"/>
      <c r="E109" s="277"/>
      <c r="F109" s="42"/>
      <c r="G109" s="42"/>
      <c r="H109" s="16">
        <f>413180+355954</f>
        <v>769134</v>
      </c>
      <c r="I109" s="42">
        <f>413179.99+277459.26</f>
        <v>690639.25</v>
      </c>
      <c r="J109" s="42">
        <f>+I109/H109*100</f>
        <v>89.79439863534833</v>
      </c>
    </row>
    <row r="110" spans="1:10" s="127" customFormat="1" ht="18.75" customHeight="1" x14ac:dyDescent="0.25">
      <c r="A110" s="340" t="s">
        <v>1064</v>
      </c>
      <c r="B110" s="629"/>
      <c r="C110" s="183"/>
      <c r="D110" s="183"/>
      <c r="E110" s="42"/>
      <c r="F110" s="42"/>
      <c r="G110" s="359"/>
      <c r="H110" s="325">
        <f>SUM(H111:H118)</f>
        <v>8696311</v>
      </c>
      <c r="I110" s="582">
        <f>SUM(I111:I118)</f>
        <v>5884167.7600000007</v>
      </c>
      <c r="J110" s="320">
        <f>+I110/H110*100</f>
        <v>67.662802767748303</v>
      </c>
    </row>
    <row r="111" spans="1:10" s="127" customFormat="1" ht="28.5" customHeight="1" x14ac:dyDescent="0.25">
      <c r="A111" s="43">
        <v>1</v>
      </c>
      <c r="B111" s="604" t="s">
        <v>1495</v>
      </c>
      <c r="C111" s="183" t="s">
        <v>629</v>
      </c>
      <c r="D111" s="164" t="s">
        <v>1073</v>
      </c>
      <c r="E111" s="42">
        <v>2.82125</v>
      </c>
      <c r="F111" s="277">
        <v>1.86</v>
      </c>
      <c r="G111" s="277">
        <f>+F111/E111*100</f>
        <v>65.928223305272496</v>
      </c>
      <c r="H111" s="38">
        <f>505972+1250292</f>
        <v>1756264</v>
      </c>
      <c r="I111" s="581">
        <f>111505.39+1178409.6</f>
        <v>1289914.99</v>
      </c>
      <c r="J111" s="42">
        <f>+I111/H111*100</f>
        <v>73.446531387080753</v>
      </c>
    </row>
    <row r="112" spans="1:10" s="127" customFormat="1" ht="28.5" customHeight="1" x14ac:dyDescent="0.25">
      <c r="A112" s="43">
        <v>3</v>
      </c>
      <c r="B112" s="604" t="s">
        <v>1074</v>
      </c>
      <c r="C112" s="183" t="s">
        <v>1049</v>
      </c>
      <c r="D112" s="164" t="s">
        <v>1073</v>
      </c>
      <c r="E112" s="42">
        <v>3.74085</v>
      </c>
      <c r="F112" s="277">
        <v>3.74</v>
      </c>
      <c r="G112" s="277">
        <f t="shared" ref="G112:G123" si="5">+F112/E112*100</f>
        <v>99.977277891388326</v>
      </c>
      <c r="H112" s="16">
        <f>367547+323280</f>
        <v>690827</v>
      </c>
      <c r="I112" s="581">
        <f>142652.71+204289.61</f>
        <v>346942.31999999995</v>
      </c>
      <c r="J112" s="42">
        <f t="shared" ref="J112:J118" si="6">+I112/H112*100</f>
        <v>50.221302873222953</v>
      </c>
    </row>
    <row r="113" spans="1:10" s="127" customFormat="1" ht="26.25" customHeight="1" x14ac:dyDescent="0.25">
      <c r="A113" s="43">
        <v>4</v>
      </c>
      <c r="B113" s="485" t="s">
        <v>1493</v>
      </c>
      <c r="C113" s="183" t="s">
        <v>168</v>
      </c>
      <c r="D113" s="19" t="s">
        <v>1073</v>
      </c>
      <c r="E113" s="16">
        <v>62</v>
      </c>
      <c r="F113" s="16">
        <v>62</v>
      </c>
      <c r="G113" s="277">
        <f t="shared" si="5"/>
        <v>100</v>
      </c>
      <c r="H113" s="698">
        <v>1049823</v>
      </c>
      <c r="I113" s="581">
        <v>434003.74</v>
      </c>
      <c r="J113" s="699">
        <f t="shared" si="6"/>
        <v>41.340658377650321</v>
      </c>
    </row>
    <row r="114" spans="1:10" s="127" customFormat="1" ht="30.75" customHeight="1" x14ac:dyDescent="0.25">
      <c r="A114" s="43">
        <v>5</v>
      </c>
      <c r="B114" s="19" t="s">
        <v>1494</v>
      </c>
      <c r="C114" s="183" t="s">
        <v>40</v>
      </c>
      <c r="D114" s="164" t="s">
        <v>1073</v>
      </c>
      <c r="E114" s="16">
        <v>15</v>
      </c>
      <c r="F114" s="16">
        <v>15</v>
      </c>
      <c r="G114" s="277">
        <f t="shared" si="5"/>
        <v>100</v>
      </c>
      <c r="H114" s="16">
        <v>2888833</v>
      </c>
      <c r="I114" s="581">
        <v>2701137.74</v>
      </c>
      <c r="J114" s="42">
        <f t="shared" si="6"/>
        <v>93.502730687443687</v>
      </c>
    </row>
    <row r="115" spans="1:10" s="280" customFormat="1" ht="26.25" customHeight="1" x14ac:dyDescent="0.25">
      <c r="A115" s="43">
        <v>6</v>
      </c>
      <c r="B115" s="604" t="s">
        <v>2291</v>
      </c>
      <c r="C115" s="183" t="s">
        <v>1046</v>
      </c>
      <c r="D115" s="164" t="s">
        <v>1075</v>
      </c>
      <c r="E115" s="42">
        <v>13.152370000000005</v>
      </c>
      <c r="F115" s="277">
        <v>13.15</v>
      </c>
      <c r="G115" s="277">
        <f t="shared" si="5"/>
        <v>99.981980433944571</v>
      </c>
      <c r="H115" s="16">
        <f>581013+409460+225480</f>
        <v>1215953</v>
      </c>
      <c r="I115" s="42">
        <f>204157.61+409460+106947</f>
        <v>720564.61</v>
      </c>
      <c r="J115" s="42">
        <f t="shared" si="6"/>
        <v>59.259248507138018</v>
      </c>
    </row>
    <row r="116" spans="1:10" s="127" customFormat="1" ht="23.25" customHeight="1" x14ac:dyDescent="0.25">
      <c r="A116" s="43">
        <v>7</v>
      </c>
      <c r="B116" s="604" t="s">
        <v>1562</v>
      </c>
      <c r="C116" s="183" t="s">
        <v>629</v>
      </c>
      <c r="D116" s="164" t="s">
        <v>1076</v>
      </c>
      <c r="E116" s="42">
        <v>10.560000000000002</v>
      </c>
      <c r="F116" s="277">
        <v>7.18</v>
      </c>
      <c r="G116" s="277">
        <f t="shared" si="5"/>
        <v>67.992424242424221</v>
      </c>
      <c r="H116" s="16">
        <v>425813</v>
      </c>
      <c r="I116" s="42">
        <v>320740.62</v>
      </c>
      <c r="J116" s="42">
        <f t="shared" si="6"/>
        <v>75.324290240081922</v>
      </c>
    </row>
    <row r="117" spans="1:10" s="127" customFormat="1" ht="18.75" customHeight="1" x14ac:dyDescent="0.25">
      <c r="A117" s="43">
        <v>8</v>
      </c>
      <c r="B117" s="701" t="s">
        <v>1561</v>
      </c>
      <c r="C117" s="702" t="s">
        <v>631</v>
      </c>
      <c r="D117" s="702" t="s">
        <v>1925</v>
      </c>
      <c r="E117" s="16">
        <v>1</v>
      </c>
      <c r="F117" s="277">
        <v>1</v>
      </c>
      <c r="G117" s="277">
        <f t="shared" si="5"/>
        <v>100</v>
      </c>
      <c r="H117" s="695">
        <v>597281</v>
      </c>
      <c r="I117" s="696">
        <v>448.07</v>
      </c>
      <c r="J117" s="703">
        <f>+I117/H117*100</f>
        <v>7.5018291223059155E-2</v>
      </c>
    </row>
    <row r="118" spans="1:10" s="127" customFormat="1" ht="55.5" customHeight="1" x14ac:dyDescent="0.25">
      <c r="A118" s="43">
        <v>9</v>
      </c>
      <c r="B118" s="604" t="s">
        <v>1563</v>
      </c>
      <c r="C118" s="704" t="s">
        <v>40</v>
      </c>
      <c r="D118" s="164" t="s">
        <v>1073</v>
      </c>
      <c r="E118" s="42">
        <v>3.8157519999999998</v>
      </c>
      <c r="F118" s="277">
        <v>3.82</v>
      </c>
      <c r="G118" s="277">
        <f t="shared" si="5"/>
        <v>100.11132798986937</v>
      </c>
      <c r="H118" s="16">
        <v>71517</v>
      </c>
      <c r="I118" s="42">
        <v>70415.67</v>
      </c>
      <c r="J118" s="42">
        <f t="shared" si="6"/>
        <v>98.460044464952389</v>
      </c>
    </row>
    <row r="119" spans="1:10" ht="18.75" customHeight="1" x14ac:dyDescent="0.2">
      <c r="A119" s="13"/>
      <c r="B119" s="412" t="s">
        <v>1414</v>
      </c>
      <c r="C119" s="540"/>
      <c r="D119" s="540"/>
      <c r="E119" s="705"/>
      <c r="F119" s="705"/>
      <c r="G119" s="706"/>
      <c r="H119" s="478">
        <f>SUM(H120:H123)</f>
        <v>1454392</v>
      </c>
      <c r="I119" s="393">
        <f>SUM(I120:I123)</f>
        <v>726085.97</v>
      </c>
      <c r="J119" s="393">
        <f>+I119/H119*100</f>
        <v>49.923677385464167</v>
      </c>
    </row>
    <row r="120" spans="1:10" s="145" customFormat="1" ht="29.25" customHeight="1" x14ac:dyDescent="0.2">
      <c r="A120" s="620">
        <v>1</v>
      </c>
      <c r="B120" s="621" t="s">
        <v>1926</v>
      </c>
      <c r="C120" s="622" t="s">
        <v>1249</v>
      </c>
      <c r="D120" s="622" t="s">
        <v>64</v>
      </c>
      <c r="E120" s="707">
        <v>1</v>
      </c>
      <c r="F120" s="624">
        <v>0.9</v>
      </c>
      <c r="G120" s="277">
        <f t="shared" si="5"/>
        <v>90</v>
      </c>
      <c r="H120" s="707">
        <v>340356</v>
      </c>
      <c r="I120" s="624">
        <v>86337.24</v>
      </c>
      <c r="J120" s="42">
        <f>+I120/H120*100</f>
        <v>25.366745407749537</v>
      </c>
    </row>
    <row r="121" spans="1:10" s="145" customFormat="1" ht="29.25" customHeight="1" x14ac:dyDescent="0.2">
      <c r="A121" s="620">
        <v>2</v>
      </c>
      <c r="B121" s="621" t="s">
        <v>1250</v>
      </c>
      <c r="C121" s="622" t="s">
        <v>1251</v>
      </c>
      <c r="D121" s="622" t="s">
        <v>64</v>
      </c>
      <c r="E121" s="707">
        <v>1</v>
      </c>
      <c r="F121" s="707">
        <v>1</v>
      </c>
      <c r="G121" s="277">
        <f t="shared" si="5"/>
        <v>100</v>
      </c>
      <c r="H121" s="708">
        <f>79049+219464</f>
        <v>298513</v>
      </c>
      <c r="I121" s="709">
        <f>79049+219461.42</f>
        <v>298510.42000000004</v>
      </c>
      <c r="J121" s="42">
        <f>+I121/H121*100</f>
        <v>99.999135716032484</v>
      </c>
    </row>
    <row r="122" spans="1:10" s="145" customFormat="1" ht="28.5" customHeight="1" x14ac:dyDescent="0.2">
      <c r="A122" s="620">
        <v>3</v>
      </c>
      <c r="B122" s="710" t="s">
        <v>1252</v>
      </c>
      <c r="C122" s="623" t="s">
        <v>1049</v>
      </c>
      <c r="D122" s="622" t="s">
        <v>64</v>
      </c>
      <c r="E122" s="707">
        <v>1</v>
      </c>
      <c r="F122" s="624">
        <v>0.9</v>
      </c>
      <c r="G122" s="277">
        <f t="shared" si="5"/>
        <v>90</v>
      </c>
      <c r="H122" s="16">
        <v>508911</v>
      </c>
      <c r="I122" s="42">
        <v>67628.31</v>
      </c>
      <c r="J122" s="42">
        <f>+I122/H122*100</f>
        <v>13.288828498499738</v>
      </c>
    </row>
    <row r="123" spans="1:10" ht="27" customHeight="1" x14ac:dyDescent="0.2">
      <c r="A123" s="620">
        <v>4</v>
      </c>
      <c r="B123" s="710" t="s">
        <v>1277</v>
      </c>
      <c r="C123" s="183" t="s">
        <v>1046</v>
      </c>
      <c r="D123" s="622" t="s">
        <v>64</v>
      </c>
      <c r="E123" s="707">
        <v>1</v>
      </c>
      <c r="F123" s="624">
        <v>0.99</v>
      </c>
      <c r="G123" s="277">
        <f t="shared" si="5"/>
        <v>99</v>
      </c>
      <c r="H123" s="707">
        <f>47878+258734</f>
        <v>306612</v>
      </c>
      <c r="I123" s="624">
        <f>47876.94+225733.06</f>
        <v>273610</v>
      </c>
      <c r="J123" s="42">
        <f>+I123/H123*100</f>
        <v>89.236559560617323</v>
      </c>
    </row>
    <row r="124" spans="1:10" x14ac:dyDescent="0.2">
      <c r="A124" s="3"/>
      <c r="C124" s="3"/>
      <c r="E124" s="93"/>
      <c r="F124" s="560"/>
      <c r="G124" s="560"/>
      <c r="H124" s="93"/>
      <c r="I124" s="93"/>
    </row>
    <row r="125" spans="1:10" x14ac:dyDescent="0.2">
      <c r="A125" s="3"/>
      <c r="C125" s="3"/>
      <c r="E125" s="93"/>
      <c r="F125" s="560"/>
      <c r="G125" s="560"/>
      <c r="H125" s="93"/>
      <c r="I125" s="93"/>
    </row>
    <row r="126" spans="1:10" x14ac:dyDescent="0.2">
      <c r="A126" s="3"/>
      <c r="C126" s="3"/>
      <c r="E126" s="93"/>
      <c r="F126" s="560"/>
      <c r="G126" s="560"/>
      <c r="H126" s="93"/>
      <c r="I126" s="93"/>
    </row>
    <row r="127" spans="1:10" x14ac:dyDescent="0.2">
      <c r="A127" s="3"/>
      <c r="C127" s="3"/>
      <c r="E127" s="93"/>
      <c r="F127" s="560"/>
      <c r="G127" s="560"/>
      <c r="H127" s="93"/>
      <c r="I127" s="93"/>
    </row>
    <row r="128" spans="1:10" x14ac:dyDescent="0.2">
      <c r="A128" s="3"/>
      <c r="C128" s="3"/>
      <c r="E128" s="93"/>
      <c r="F128" s="560"/>
      <c r="G128" s="560"/>
      <c r="H128" s="93"/>
      <c r="I128" s="93"/>
    </row>
    <row r="129" spans="1:9" x14ac:dyDescent="0.2">
      <c r="A129" s="3"/>
      <c r="C129" s="3"/>
      <c r="E129" s="93"/>
      <c r="F129" s="560"/>
      <c r="G129" s="560"/>
      <c r="H129" s="93"/>
      <c r="I129" s="93"/>
    </row>
    <row r="130" spans="1:9" x14ac:dyDescent="0.2">
      <c r="A130" s="3"/>
      <c r="C130" s="3"/>
      <c r="E130" s="93"/>
      <c r="F130" s="560"/>
      <c r="G130" s="560"/>
      <c r="H130" s="93"/>
      <c r="I130" s="93"/>
    </row>
    <row r="131" spans="1:9" x14ac:dyDescent="0.2">
      <c r="E131" s="561"/>
      <c r="F131" s="560"/>
      <c r="G131" s="560"/>
      <c r="H131" s="93"/>
      <c r="I131" s="93"/>
    </row>
  </sheetData>
  <mergeCells count="33">
    <mergeCell ref="H100:H106"/>
    <mergeCell ref="I100:I106"/>
    <mergeCell ref="A100:A106"/>
    <mergeCell ref="B100:B106"/>
    <mergeCell ref="C100:C106"/>
    <mergeCell ref="J100:J106"/>
    <mergeCell ref="J83:J84"/>
    <mergeCell ref="J85:J86"/>
    <mergeCell ref="I83:I84"/>
    <mergeCell ref="I85:I86"/>
    <mergeCell ref="J88:J99"/>
    <mergeCell ref="I88:I99"/>
    <mergeCell ref="A2:B2"/>
    <mergeCell ref="A5:A6"/>
    <mergeCell ref="B5:B6"/>
    <mergeCell ref="C5:C6"/>
    <mergeCell ref="D5:G5"/>
    <mergeCell ref="H5:J5"/>
    <mergeCell ref="A3:J3"/>
    <mergeCell ref="A4:J4"/>
    <mergeCell ref="A83:A84"/>
    <mergeCell ref="B83:B84"/>
    <mergeCell ref="C83:C84"/>
    <mergeCell ref="A7:B7"/>
    <mergeCell ref="B88:B99"/>
    <mergeCell ref="H83:H84"/>
    <mergeCell ref="A85:A86"/>
    <mergeCell ref="B85:B86"/>
    <mergeCell ref="C85:C86"/>
    <mergeCell ref="H85:H86"/>
    <mergeCell ref="C88:C99"/>
    <mergeCell ref="H88:H99"/>
    <mergeCell ref="A88:A99"/>
  </mergeCells>
  <printOptions horizontalCentered="1" verticalCentered="1"/>
  <pageMargins left="0.39370078740157483" right="0.70866141732283472" top="0.94488188976377963" bottom="0.62992125984251968" header="0.31496062992125984" footer="0.15748031496062992"/>
  <pageSetup paperSize="9" scale="79" orientation="landscape" r:id="rId1"/>
  <headerFooter>
    <oddHeader>&amp;L&amp;G</oddHeader>
    <oddFooter>&amp;L&amp;G</oddFooter>
  </headerFooter>
  <rowBreaks count="3" manualBreakCount="3">
    <brk id="75" max="9" man="1"/>
    <brk id="99" max="9" man="1"/>
    <brk id="11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23</vt:i4>
      </vt:variant>
    </vt:vector>
  </HeadingPairs>
  <TitlesOfParts>
    <vt:vector size="41" baseType="lpstr">
      <vt:lpstr>Oficinas</vt:lpstr>
      <vt:lpstr>OE.1.1</vt:lpstr>
      <vt:lpstr>OE.1.2</vt:lpstr>
      <vt:lpstr>OE.1.3</vt:lpstr>
      <vt:lpstr>OE.1.4</vt:lpstr>
      <vt:lpstr>OE.1.5</vt:lpstr>
      <vt:lpstr>OE.2.1</vt:lpstr>
      <vt:lpstr>OE.2.2</vt:lpstr>
      <vt:lpstr>OE.2.3</vt:lpstr>
      <vt:lpstr>OE.2.4</vt:lpstr>
      <vt:lpstr>OE.2.5</vt:lpstr>
      <vt:lpstr>OE.3.1</vt:lpstr>
      <vt:lpstr>OE.3.2</vt:lpstr>
      <vt:lpstr>OE.3.3</vt:lpstr>
      <vt:lpstr>OE.4.1</vt:lpstr>
      <vt:lpstr>OE.4.2</vt:lpstr>
      <vt:lpstr>OE.4.3</vt:lpstr>
      <vt:lpstr>OE.4.4</vt:lpstr>
      <vt:lpstr>OE.1.1!Área_de_impresión</vt:lpstr>
      <vt:lpstr>OE.1.2!Área_de_impresión</vt:lpstr>
      <vt:lpstr>OE.1.5!Área_de_impresión</vt:lpstr>
      <vt:lpstr>OE.2.3!Área_de_impresión</vt:lpstr>
      <vt:lpstr>OE.3.3!Área_de_impresión</vt:lpstr>
      <vt:lpstr>OE.4.3!Área_de_impresión</vt:lpstr>
      <vt:lpstr>OE.1.1!Títulos_a_imprimir</vt:lpstr>
      <vt:lpstr>OE.1.2!Títulos_a_imprimir</vt:lpstr>
      <vt:lpstr>OE.1.3!Títulos_a_imprimir</vt:lpstr>
      <vt:lpstr>OE.1.4!Títulos_a_imprimir</vt:lpstr>
      <vt:lpstr>OE.1.5!Títulos_a_imprimir</vt:lpstr>
      <vt:lpstr>OE.2.1!Títulos_a_imprimir</vt:lpstr>
      <vt:lpstr>OE.2.2!Títulos_a_imprimir</vt:lpstr>
      <vt:lpstr>OE.2.3!Títulos_a_imprimir</vt:lpstr>
      <vt:lpstr>OE.2.4!Títulos_a_imprimir</vt:lpstr>
      <vt:lpstr>OE.2.5!Títulos_a_imprimir</vt:lpstr>
      <vt:lpstr>OE.3.1!Títulos_a_imprimir</vt:lpstr>
      <vt:lpstr>OE.3.2!Títulos_a_imprimir</vt:lpstr>
      <vt:lpstr>OE.3.3!Títulos_a_imprimir</vt:lpstr>
      <vt:lpstr>OE.4.1!Títulos_a_imprimir</vt:lpstr>
      <vt:lpstr>OE.4.2!Títulos_a_imprimir</vt:lpstr>
      <vt:lpstr>OE.4.3!Títulos_a_imprimir</vt:lpstr>
      <vt:lpstr>OE.4.4!Títulos_a_imprimir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flatorraca</dc:creator>
  <cp:lastModifiedBy>Percy Crisologo Bardales</cp:lastModifiedBy>
  <cp:lastPrinted>2015-03-30T16:58:30Z</cp:lastPrinted>
  <dcterms:created xsi:type="dcterms:W3CDTF">2014-02-19T16:14:54Z</dcterms:created>
  <dcterms:modified xsi:type="dcterms:W3CDTF">2015-04-23T13:35:16Z</dcterms:modified>
</cp:coreProperties>
</file>