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20" yWindow="-15" windowWidth="4365" windowHeight="11760" tabRatio="859" activeTab="15"/>
  </bookViews>
  <sheets>
    <sheet name="OE.1.1" sheetId="1" r:id="rId1"/>
    <sheet name="OE.1.2" sheetId="2" r:id="rId2"/>
    <sheet name="OE.1.3" sheetId="5" r:id="rId3"/>
    <sheet name="OE.1.4" sheetId="6" r:id="rId4"/>
    <sheet name="OE.1.5" sheetId="7" r:id="rId5"/>
    <sheet name="OE.2.1" sheetId="3" r:id="rId6"/>
    <sheet name="OE.2.2" sheetId="8" r:id="rId7"/>
    <sheet name="OE.2.3" sheetId="9" r:id="rId8"/>
    <sheet name="OE.2.4" sheetId="10" r:id="rId9"/>
    <sheet name="OE.2.5" sheetId="11" r:id="rId10"/>
    <sheet name="OE.3.2" sheetId="14" r:id="rId11"/>
    <sheet name="OE.3.3" sheetId="15" r:id="rId12"/>
    <sheet name="OE.4.1" sheetId="16" r:id="rId13"/>
    <sheet name="OE.4.2" sheetId="18" r:id="rId14"/>
    <sheet name="OE.4.3" sheetId="17" r:id="rId15"/>
    <sheet name="OE.4.4" sheetId="19" r:id="rId16"/>
    <sheet name="Anexo 1" sheetId="20" r:id="rId17"/>
    <sheet name="Anexo 2" sheetId="21" r:id="rId18"/>
    <sheet name="Hoja2" sheetId="23" r:id="rId19"/>
  </sheets>
  <externalReferences>
    <externalReference r:id="rId20"/>
  </externalReferences>
  <definedNames>
    <definedName name="_xlnm._FilterDatabase" localSheetId="17" hidden="1">'Anexo 2'!$A$4:$G$198</definedName>
    <definedName name="aaaa" localSheetId="2">#REF!</definedName>
    <definedName name="aaaa" localSheetId="3">#REF!</definedName>
    <definedName name="aaaa" localSheetId="4">#REF!</definedName>
    <definedName name="aaaa">#REF!</definedName>
    <definedName name="_xlnm.Print_Area" localSheetId="0">OE.1.1!$B$1:$J$293</definedName>
    <definedName name="Prioridad" localSheetId="2">#REF!</definedName>
    <definedName name="Prioridad" localSheetId="3">#REF!</definedName>
    <definedName name="Prioridad" localSheetId="4">#REF!</definedName>
    <definedName name="Prioridad">#REF!</definedName>
    <definedName name="Seleccion" localSheetId="2">#REF!</definedName>
    <definedName name="Seleccion" localSheetId="3">#REF!</definedName>
    <definedName name="Seleccion" localSheetId="4">#REF!</definedName>
    <definedName name="Seleccion">#REF!</definedName>
    <definedName name="TERRITORIO">[1]DATA!$A$59:$A$63</definedName>
    <definedName name="_xlnm.Print_Titles" localSheetId="16">'Anexo 1'!$2:$6</definedName>
    <definedName name="_xlnm.Print_Titles" localSheetId="17">'Anexo 2'!$1:$4</definedName>
    <definedName name="_xlnm.Print_Titles" localSheetId="0">OE.1.1!$6:$7</definedName>
    <definedName name="_xlnm.Print_Titles" localSheetId="1">OE.1.2!$6:$7</definedName>
    <definedName name="_xlnm.Print_Titles" localSheetId="2">OE.1.3!$6:$7</definedName>
    <definedName name="_xlnm.Print_Titles" localSheetId="3">OE.1.4!$5:$6</definedName>
    <definedName name="_xlnm.Print_Titles" localSheetId="4">OE.1.5!$6:$7</definedName>
    <definedName name="_xlnm.Print_Titles" localSheetId="5">OE.2.1!$6:$7</definedName>
    <definedName name="_xlnm.Print_Titles" localSheetId="6">OE.2.2!$6:$7</definedName>
    <definedName name="_xlnm.Print_Titles" localSheetId="7">OE.2.3!$6:$7</definedName>
    <definedName name="_xlnm.Print_Titles" localSheetId="8">OE.2.4!$6:$7</definedName>
    <definedName name="_xlnm.Print_Titles" localSheetId="9">OE.2.5!$2:$7</definedName>
    <definedName name="_xlnm.Print_Titles" localSheetId="10">OE.3.2!$6:$7</definedName>
    <definedName name="_xlnm.Print_Titles" localSheetId="11">OE.3.3!$2:$7</definedName>
    <definedName name="_xlnm.Print_Titles" localSheetId="12">OE.4.1!$6:$7</definedName>
    <definedName name="_xlnm.Print_Titles" localSheetId="13">OE.4.2!$6:$7</definedName>
    <definedName name="_xlnm.Print_Titles" localSheetId="14">OE.4.3!$6:$7</definedName>
    <definedName name="_xlnm.Print_Titles" localSheetId="15">OE.4.4!$6:$7</definedName>
    <definedName name="UM_Eval_Fisica" localSheetId="2">#REF!</definedName>
    <definedName name="UM_Eval_Fisica" localSheetId="3">#REF!</definedName>
    <definedName name="UM_Eval_Fisica" localSheetId="4">#REF!</definedName>
    <definedName name="UM_Eval_Fisica">#REF!</definedName>
    <definedName name="UM_Pobacion" localSheetId="2">#REF!</definedName>
    <definedName name="UM_Pobacion" localSheetId="3">#REF!</definedName>
    <definedName name="UM_Pobacion" localSheetId="4">#REF!</definedName>
    <definedName name="UM_Pobacion">#REF!</definedName>
  </definedNames>
  <calcPr calcId="145621"/>
</workbook>
</file>

<file path=xl/calcChain.xml><?xml version="1.0" encoding="utf-8"?>
<calcChain xmlns="http://schemas.openxmlformats.org/spreadsheetml/2006/main">
  <c r="F27" i="23" l="1"/>
  <c r="F29" i="23" s="1"/>
  <c r="E27" i="23"/>
  <c r="E29" i="23" s="1"/>
  <c r="H257" i="16" l="1"/>
  <c r="H267" i="1"/>
  <c r="E127" i="20"/>
  <c r="H15" i="1"/>
  <c r="F118" i="21" l="1"/>
  <c r="F113" i="21"/>
  <c r="G119" i="21"/>
  <c r="E118" i="21"/>
  <c r="E113" i="21" s="1"/>
  <c r="I64" i="19"/>
  <c r="H64" i="19"/>
  <c r="J67" i="19"/>
  <c r="G67" i="19"/>
  <c r="J66" i="19"/>
  <c r="G66" i="19"/>
  <c r="J65" i="19"/>
  <c r="G65" i="19"/>
  <c r="J64" i="19" l="1"/>
  <c r="G60" i="19"/>
  <c r="J60" i="19"/>
  <c r="H9" i="19" l="1"/>
  <c r="I9" i="19"/>
  <c r="G10" i="19"/>
  <c r="J10" i="19"/>
  <c r="G11" i="19"/>
  <c r="J11" i="19"/>
  <c r="H14" i="19"/>
  <c r="H13" i="19" s="1"/>
  <c r="I14" i="19"/>
  <c r="I13" i="19" s="1"/>
  <c r="G15" i="19"/>
  <c r="G16" i="19"/>
  <c r="J16" i="19"/>
  <c r="G18" i="19"/>
  <c r="G19" i="19"/>
  <c r="H21" i="19"/>
  <c r="H20" i="19" s="1"/>
  <c r="I21" i="19"/>
  <c r="I20" i="19" s="1"/>
  <c r="G22" i="19"/>
  <c r="J22" i="19"/>
  <c r="G23" i="19"/>
  <c r="J23" i="19"/>
  <c r="G24" i="19"/>
  <c r="J24" i="19"/>
  <c r="H26" i="19"/>
  <c r="I26" i="19"/>
  <c r="G27" i="19"/>
  <c r="G28" i="19"/>
  <c r="J28" i="19"/>
  <c r="G29" i="19"/>
  <c r="J29" i="19"/>
  <c r="H30" i="19"/>
  <c r="I30" i="19"/>
  <c r="G31" i="19"/>
  <c r="J31" i="19"/>
  <c r="G32" i="19"/>
  <c r="J32" i="19"/>
  <c r="G33" i="19"/>
  <c r="J33" i="19"/>
  <c r="G34" i="19"/>
  <c r="J34" i="19"/>
  <c r="G35" i="19"/>
  <c r="J35" i="19"/>
  <c r="G36" i="19"/>
  <c r="J36" i="19"/>
  <c r="G37" i="19"/>
  <c r="J37" i="19"/>
  <c r="G38" i="19"/>
  <c r="J38" i="19"/>
  <c r="G39" i="19"/>
  <c r="J39" i="19"/>
  <c r="G40" i="19"/>
  <c r="J40" i="19"/>
  <c r="G41" i="19"/>
  <c r="J41" i="19"/>
  <c r="G42" i="19"/>
  <c r="J42" i="19"/>
  <c r="G43" i="19"/>
  <c r="J43" i="19"/>
  <c r="G44" i="19"/>
  <c r="J44" i="19"/>
  <c r="G45" i="19"/>
  <c r="J45" i="19"/>
  <c r="G46" i="19"/>
  <c r="J46" i="19"/>
  <c r="G47" i="19"/>
  <c r="J47" i="19"/>
  <c r="G48" i="19"/>
  <c r="J48" i="19"/>
  <c r="G49" i="19"/>
  <c r="J49" i="19"/>
  <c r="G50" i="19"/>
  <c r="J50" i="19"/>
  <c r="G51" i="19"/>
  <c r="J51" i="19"/>
  <c r="G52" i="19"/>
  <c r="J52" i="19"/>
  <c r="G53" i="19"/>
  <c r="J53" i="19"/>
  <c r="G54" i="19"/>
  <c r="J54" i="19"/>
  <c r="G55" i="19"/>
  <c r="J55" i="19"/>
  <c r="G56" i="19"/>
  <c r="J56" i="19"/>
  <c r="G57" i="19"/>
  <c r="J57" i="19"/>
  <c r="G58" i="19"/>
  <c r="J58" i="19"/>
  <c r="H59" i="19"/>
  <c r="I59" i="19"/>
  <c r="H61" i="19"/>
  <c r="I61" i="19"/>
  <c r="G62" i="19"/>
  <c r="J62" i="19"/>
  <c r="G63" i="19"/>
  <c r="J63" i="19"/>
  <c r="H68" i="19"/>
  <c r="I68" i="19"/>
  <c r="G69" i="19"/>
  <c r="J69" i="19"/>
  <c r="H71" i="19"/>
  <c r="H70" i="19" s="1"/>
  <c r="G72" i="19"/>
  <c r="I72" i="19"/>
  <c r="J72" i="19" s="1"/>
  <c r="G73" i="19"/>
  <c r="J73" i="19"/>
  <c r="G74" i="19"/>
  <c r="J74" i="19"/>
  <c r="J75" i="19"/>
  <c r="J76" i="19"/>
  <c r="J77" i="19"/>
  <c r="J78" i="19"/>
  <c r="G17" i="6"/>
  <c r="I71" i="19" l="1"/>
  <c r="J71" i="19" s="1"/>
  <c r="J68" i="19"/>
  <c r="H25" i="19"/>
  <c r="I25" i="19"/>
  <c r="I70" i="19"/>
  <c r="J70" i="19" s="1"/>
  <c r="H12" i="19"/>
  <c r="H8" i="19" s="1"/>
  <c r="J59" i="19"/>
  <c r="J25" i="19"/>
  <c r="J61" i="19"/>
  <c r="J30" i="19"/>
  <c r="J20" i="19"/>
  <c r="I12" i="19"/>
  <c r="J13" i="19"/>
  <c r="J14" i="19"/>
  <c r="J26" i="19"/>
  <c r="J21" i="19"/>
  <c r="J9" i="19"/>
  <c r="G196" i="21"/>
  <c r="F195" i="21"/>
  <c r="E195" i="21"/>
  <c r="G194" i="21"/>
  <c r="F193" i="21"/>
  <c r="E193" i="21"/>
  <c r="G192" i="21"/>
  <c r="F191" i="21"/>
  <c r="E191" i="21"/>
  <c r="G190" i="21"/>
  <c r="F189" i="21"/>
  <c r="E189" i="21"/>
  <c r="G188" i="21"/>
  <c r="F187" i="21"/>
  <c r="E187" i="21"/>
  <c r="G186" i="21"/>
  <c r="F185" i="21"/>
  <c r="E185" i="21"/>
  <c r="G184" i="21"/>
  <c r="F183" i="21"/>
  <c r="E183" i="21"/>
  <c r="G182" i="21"/>
  <c r="F181" i="21"/>
  <c r="E181" i="21"/>
  <c r="G180" i="21"/>
  <c r="F179" i="21"/>
  <c r="E179" i="21"/>
  <c r="G178" i="21"/>
  <c r="F177" i="21"/>
  <c r="E177" i="21"/>
  <c r="G176" i="21"/>
  <c r="F175" i="21"/>
  <c r="E175" i="21"/>
  <c r="G174" i="21"/>
  <c r="F173" i="21"/>
  <c r="E173" i="21"/>
  <c r="G172" i="21"/>
  <c r="F171" i="21"/>
  <c r="E171" i="21"/>
  <c r="G170" i="21"/>
  <c r="F169" i="21"/>
  <c r="E169" i="21"/>
  <c r="G168" i="21"/>
  <c r="F167" i="21"/>
  <c r="E167" i="21"/>
  <c r="G166" i="21"/>
  <c r="F165" i="21"/>
  <c r="E165" i="21"/>
  <c r="G164" i="21"/>
  <c r="F163" i="21"/>
  <c r="E163" i="21"/>
  <c r="G162" i="21"/>
  <c r="F161" i="21"/>
  <c r="E161" i="21"/>
  <c r="G160" i="21"/>
  <c r="F159" i="21"/>
  <c r="E159" i="21"/>
  <c r="G158" i="21"/>
  <c r="F157" i="21"/>
  <c r="E157" i="21"/>
  <c r="G156" i="21"/>
  <c r="F155" i="21"/>
  <c r="E155" i="21"/>
  <c r="G154" i="21"/>
  <c r="G153" i="21"/>
  <c r="F152" i="21"/>
  <c r="E152" i="21"/>
  <c r="G151" i="21"/>
  <c r="G150" i="21"/>
  <c r="F149" i="21"/>
  <c r="E149" i="21"/>
  <c r="F148" i="21"/>
  <c r="G148" i="21" s="1"/>
  <c r="E148" i="21"/>
  <c r="F147" i="21"/>
  <c r="G146" i="21"/>
  <c r="G145" i="21"/>
  <c r="G144" i="21"/>
  <c r="F143" i="21"/>
  <c r="G143" i="21" s="1"/>
  <c r="E143" i="21"/>
  <c r="G142" i="21"/>
  <c r="E141" i="21"/>
  <c r="E140" i="21" s="1"/>
  <c r="G139" i="21"/>
  <c r="G138" i="21"/>
  <c r="G137" i="21"/>
  <c r="E136" i="21"/>
  <c r="E132" i="21" s="1"/>
  <c r="E131" i="21" s="1"/>
  <c r="G135" i="21"/>
  <c r="G134" i="21"/>
  <c r="G133" i="21"/>
  <c r="F132" i="21"/>
  <c r="G132" i="21" s="1"/>
  <c r="F130" i="21"/>
  <c r="E130" i="21"/>
  <c r="E121" i="21" s="1"/>
  <c r="E120" i="21" s="1"/>
  <c r="G129" i="21"/>
  <c r="G128" i="21"/>
  <c r="G127" i="21"/>
  <c r="G126" i="21"/>
  <c r="G125" i="21"/>
  <c r="F124" i="21"/>
  <c r="G124" i="21" s="1"/>
  <c r="E124" i="21"/>
  <c r="G123" i="21"/>
  <c r="G122" i="21"/>
  <c r="F121" i="21"/>
  <c r="G118" i="21"/>
  <c r="G117" i="21"/>
  <c r="G116" i="21"/>
  <c r="G115" i="21"/>
  <c r="G114" i="21"/>
  <c r="E112" i="21"/>
  <c r="G111" i="21"/>
  <c r="F110" i="21"/>
  <c r="E110" i="21"/>
  <c r="E109" i="21" s="1"/>
  <c r="G108" i="21"/>
  <c r="F107" i="21"/>
  <c r="E107" i="21"/>
  <c r="G106" i="21"/>
  <c r="F105" i="21"/>
  <c r="E105" i="21"/>
  <c r="G104" i="21"/>
  <c r="F103" i="21"/>
  <c r="E103" i="21"/>
  <c r="G102" i="21"/>
  <c r="F101" i="21"/>
  <c r="E101" i="21"/>
  <c r="G100" i="21"/>
  <c r="F99" i="21"/>
  <c r="E99" i="21"/>
  <c r="G98" i="21"/>
  <c r="F97" i="21"/>
  <c r="E97" i="21"/>
  <c r="G94" i="21"/>
  <c r="G93" i="21"/>
  <c r="G92" i="21"/>
  <c r="G91" i="21"/>
  <c r="F90" i="21"/>
  <c r="E90" i="21"/>
  <c r="G89" i="21"/>
  <c r="F88" i="21"/>
  <c r="E88" i="21"/>
  <c r="G87" i="21"/>
  <c r="G86" i="21"/>
  <c r="G85" i="21"/>
  <c r="G84" i="21"/>
  <c r="F83" i="21"/>
  <c r="E83" i="21"/>
  <c r="G82" i="21"/>
  <c r="G80" i="21"/>
  <c r="F79" i="21"/>
  <c r="E79" i="21"/>
  <c r="G78" i="21"/>
  <c r="F77" i="21"/>
  <c r="E77" i="21"/>
  <c r="G76" i="21"/>
  <c r="F75" i="21"/>
  <c r="E75" i="21"/>
  <c r="G74" i="21"/>
  <c r="F73" i="21"/>
  <c r="E73" i="21"/>
  <c r="G72" i="21"/>
  <c r="F71" i="21"/>
  <c r="E71" i="21"/>
  <c r="G70" i="21"/>
  <c r="G69" i="21"/>
  <c r="F68" i="21"/>
  <c r="E68" i="21"/>
  <c r="G67" i="21"/>
  <c r="F66" i="21"/>
  <c r="E66" i="21"/>
  <c r="F65" i="21"/>
  <c r="E65" i="21"/>
  <c r="E63" i="21" s="1"/>
  <c r="F64" i="21"/>
  <c r="G64" i="21" s="1"/>
  <c r="E64" i="21"/>
  <c r="F63" i="21"/>
  <c r="G61" i="21"/>
  <c r="F60" i="21"/>
  <c r="E60" i="21"/>
  <c r="G59" i="21"/>
  <c r="F58" i="21"/>
  <c r="E58" i="21"/>
  <c r="G57" i="21"/>
  <c r="F56" i="21"/>
  <c r="E56" i="21"/>
  <c r="G55" i="21"/>
  <c r="F54" i="21"/>
  <c r="E54" i="21"/>
  <c r="G53" i="21"/>
  <c r="F52" i="21"/>
  <c r="E52" i="21"/>
  <c r="F51" i="21"/>
  <c r="F47" i="21" s="1"/>
  <c r="E51" i="21"/>
  <c r="F50" i="21"/>
  <c r="E50" i="21"/>
  <c r="G50" i="21" s="1"/>
  <c r="G49" i="21"/>
  <c r="F48" i="21"/>
  <c r="E48" i="21"/>
  <c r="G48" i="21" s="1"/>
  <c r="G45" i="21"/>
  <c r="F44" i="21"/>
  <c r="E44" i="21"/>
  <c r="G43" i="21"/>
  <c r="F42" i="21"/>
  <c r="E42" i="21"/>
  <c r="G41" i="21"/>
  <c r="F40" i="21"/>
  <c r="E40" i="21"/>
  <c r="G39" i="21"/>
  <c r="F38" i="21"/>
  <c r="E38" i="21"/>
  <c r="G37" i="21"/>
  <c r="F36" i="21"/>
  <c r="E36" i="21"/>
  <c r="G35" i="21"/>
  <c r="F34" i="21"/>
  <c r="E34" i="21"/>
  <c r="G33" i="21"/>
  <c r="F32" i="21"/>
  <c r="E32" i="21"/>
  <c r="G30" i="21"/>
  <c r="F29" i="21"/>
  <c r="E29" i="21"/>
  <c r="G28" i="21"/>
  <c r="F27" i="21"/>
  <c r="E27" i="21"/>
  <c r="G26" i="21"/>
  <c r="F25" i="21"/>
  <c r="E25" i="21"/>
  <c r="G24" i="21"/>
  <c r="F23" i="21"/>
  <c r="E23" i="21"/>
  <c r="G22" i="21"/>
  <c r="F21" i="21"/>
  <c r="E21" i="21"/>
  <c r="G20" i="21"/>
  <c r="F19" i="21"/>
  <c r="E19" i="21"/>
  <c r="G18" i="21"/>
  <c r="F17" i="21"/>
  <c r="E17" i="21"/>
  <c r="G16" i="21"/>
  <c r="F15" i="21"/>
  <c r="E15" i="21"/>
  <c r="G14" i="21"/>
  <c r="F13" i="21"/>
  <c r="E13" i="21"/>
  <c r="G12" i="21"/>
  <c r="F11" i="21"/>
  <c r="E11" i="21"/>
  <c r="G10" i="21"/>
  <c r="F9" i="21"/>
  <c r="E9" i="21"/>
  <c r="G8" i="21"/>
  <c r="F7" i="21"/>
  <c r="E7" i="21"/>
  <c r="E130" i="20"/>
  <c r="E129" i="20"/>
  <c r="E128" i="20"/>
  <c r="E126" i="20"/>
  <c r="E125" i="20"/>
  <c r="E124" i="20"/>
  <c r="E123" i="20"/>
  <c r="D122" i="20"/>
  <c r="E122" i="20" s="1"/>
  <c r="C122" i="20"/>
  <c r="E121" i="20"/>
  <c r="E120" i="20"/>
  <c r="E119" i="20"/>
  <c r="D118" i="20"/>
  <c r="C118" i="20"/>
  <c r="E117" i="20"/>
  <c r="E116" i="20"/>
  <c r="E115" i="20"/>
  <c r="E114" i="20"/>
  <c r="D113" i="20"/>
  <c r="C113" i="20"/>
  <c r="E112" i="20"/>
  <c r="E111" i="20"/>
  <c r="E110" i="20"/>
  <c r="E109" i="20"/>
  <c r="E108" i="20"/>
  <c r="E107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D86" i="20"/>
  <c r="C86" i="20"/>
  <c r="E85" i="20"/>
  <c r="D84" i="20"/>
  <c r="C84" i="20"/>
  <c r="E83" i="20"/>
  <c r="E82" i="20"/>
  <c r="D81" i="20"/>
  <c r="C81" i="20"/>
  <c r="E80" i="20"/>
  <c r="E79" i="20"/>
  <c r="E78" i="20"/>
  <c r="E77" i="20"/>
  <c r="E76" i="20"/>
  <c r="D75" i="20"/>
  <c r="E75" i="20" s="1"/>
  <c r="C75" i="20"/>
  <c r="E74" i="20"/>
  <c r="E73" i="20"/>
  <c r="E72" i="20"/>
  <c r="E71" i="20"/>
  <c r="E70" i="20"/>
  <c r="E69" i="20"/>
  <c r="D68" i="20"/>
  <c r="C68" i="20"/>
  <c r="E68" i="20" s="1"/>
  <c r="E67" i="20"/>
  <c r="E66" i="20"/>
  <c r="E65" i="20"/>
  <c r="E64" i="20"/>
  <c r="E63" i="20"/>
  <c r="D62" i="20"/>
  <c r="C62" i="20"/>
  <c r="E62" i="20" s="1"/>
  <c r="E61" i="20"/>
  <c r="E60" i="20"/>
  <c r="E59" i="20"/>
  <c r="D58" i="20"/>
  <c r="C58" i="20"/>
  <c r="E57" i="20"/>
  <c r="E56" i="20"/>
  <c r="E55" i="20"/>
  <c r="E54" i="20"/>
  <c r="E53" i="20"/>
  <c r="E52" i="20"/>
  <c r="D51" i="20"/>
  <c r="C51" i="20"/>
  <c r="E50" i="20"/>
  <c r="D49" i="20"/>
  <c r="C49" i="20"/>
  <c r="E49" i="20" s="1"/>
  <c r="E48" i="20"/>
  <c r="E47" i="20"/>
  <c r="D46" i="20"/>
  <c r="C46" i="20"/>
  <c r="E45" i="20"/>
  <c r="E44" i="20"/>
  <c r="E43" i="20"/>
  <c r="D42" i="20"/>
  <c r="E42" i="20" s="1"/>
  <c r="C42" i="20"/>
  <c r="E41" i="20"/>
  <c r="E40" i="20"/>
  <c r="E39" i="20"/>
  <c r="E38" i="20"/>
  <c r="E37" i="20"/>
  <c r="E36" i="20"/>
  <c r="E35" i="20"/>
  <c r="E34" i="20"/>
  <c r="E33" i="20"/>
  <c r="E32" i="20"/>
  <c r="E31" i="20"/>
  <c r="D30" i="20"/>
  <c r="C30" i="20"/>
  <c r="D29" i="20"/>
  <c r="C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C7" i="20"/>
  <c r="I24" i="10"/>
  <c r="J24" i="10" s="1"/>
  <c r="H24" i="10"/>
  <c r="J12" i="19" l="1"/>
  <c r="I8" i="19"/>
  <c r="J8" i="19" s="1"/>
  <c r="E30" i="20"/>
  <c r="E46" i="20"/>
  <c r="E81" i="20"/>
  <c r="E84" i="20"/>
  <c r="E113" i="20"/>
  <c r="E118" i="20"/>
  <c r="G51" i="21"/>
  <c r="G65" i="21"/>
  <c r="G101" i="21"/>
  <c r="G130" i="21"/>
  <c r="F141" i="21"/>
  <c r="G141" i="21" s="1"/>
  <c r="E147" i="21"/>
  <c r="G149" i="21"/>
  <c r="G159" i="21"/>
  <c r="G167" i="21"/>
  <c r="G175" i="21"/>
  <c r="G183" i="21"/>
  <c r="G191" i="21"/>
  <c r="E51" i="20"/>
  <c r="E58" i="20"/>
  <c r="E29" i="20"/>
  <c r="G13" i="21"/>
  <c r="G21" i="21"/>
  <c r="G29" i="21"/>
  <c r="G155" i="21"/>
  <c r="G163" i="21"/>
  <c r="G171" i="21"/>
  <c r="G179" i="21"/>
  <c r="G187" i="21"/>
  <c r="G195" i="21"/>
  <c r="G107" i="21"/>
  <c r="G121" i="21"/>
  <c r="G147" i="21"/>
  <c r="G152" i="21"/>
  <c r="G103" i="21"/>
  <c r="E96" i="21"/>
  <c r="G99" i="21"/>
  <c r="G44" i="21"/>
  <c r="G97" i="21"/>
  <c r="G105" i="21"/>
  <c r="G157" i="21"/>
  <c r="G165" i="21"/>
  <c r="G173" i="21"/>
  <c r="G181" i="21"/>
  <c r="G189" i="21"/>
  <c r="G110" i="21"/>
  <c r="G161" i="21"/>
  <c r="G169" i="21"/>
  <c r="G177" i="21"/>
  <c r="G185" i="21"/>
  <c r="G193" i="21"/>
  <c r="G83" i="21"/>
  <c r="E81" i="21"/>
  <c r="G36" i="21"/>
  <c r="G66" i="21"/>
  <c r="G77" i="21"/>
  <c r="E6" i="21"/>
  <c r="G15" i="21"/>
  <c r="E31" i="21"/>
  <c r="G34" i="21"/>
  <c r="G42" i="21"/>
  <c r="F46" i="21"/>
  <c r="F6" i="21"/>
  <c r="G11" i="21"/>
  <c r="G19" i="21"/>
  <c r="G38" i="21"/>
  <c r="G56" i="21"/>
  <c r="F62" i="21"/>
  <c r="G75" i="21"/>
  <c r="G90" i="21"/>
  <c r="G27" i="21"/>
  <c r="G32" i="21"/>
  <c r="G40" i="21"/>
  <c r="G52" i="21"/>
  <c r="G60" i="21"/>
  <c r="G73" i="21"/>
  <c r="G88" i="21"/>
  <c r="G9" i="21"/>
  <c r="G17" i="21"/>
  <c r="G25" i="21"/>
  <c r="G58" i="21"/>
  <c r="G68" i="21"/>
  <c r="G71" i="21"/>
  <c r="G79" i="21"/>
  <c r="G23" i="21"/>
  <c r="G54" i="21"/>
  <c r="E86" i="20"/>
  <c r="G113" i="21"/>
  <c r="E8" i="20"/>
  <c r="G63" i="21"/>
  <c r="E62" i="21"/>
  <c r="G62" i="21" s="1"/>
  <c r="G7" i="21"/>
  <c r="E47" i="21"/>
  <c r="F109" i="21"/>
  <c r="G109" i="21" s="1"/>
  <c r="F120" i="21"/>
  <c r="G120" i="21" s="1"/>
  <c r="G136" i="21"/>
  <c r="F96" i="21"/>
  <c r="F31" i="21"/>
  <c r="F81" i="21"/>
  <c r="F112" i="21"/>
  <c r="G112" i="21" s="1"/>
  <c r="F131" i="21"/>
  <c r="G131" i="21" s="1"/>
  <c r="C131" i="20"/>
  <c r="D7" i="20"/>
  <c r="E7" i="20" s="1"/>
  <c r="G81" i="21" l="1"/>
  <c r="F140" i="21"/>
  <c r="G140" i="21" s="1"/>
  <c r="G6" i="21"/>
  <c r="G96" i="21"/>
  <c r="D131" i="20"/>
  <c r="E131" i="20" s="1"/>
  <c r="G47" i="21"/>
  <c r="E46" i="21"/>
  <c r="F5" i="21"/>
  <c r="F197" i="21" s="1"/>
  <c r="G31" i="21"/>
  <c r="E5" i="21" l="1"/>
  <c r="E197" i="21" s="1"/>
  <c r="G46" i="21"/>
  <c r="G197" i="21" l="1"/>
  <c r="G5" i="21"/>
  <c r="I10" i="10" l="1"/>
  <c r="I9" i="10" s="1"/>
  <c r="H10" i="10"/>
  <c r="H9" i="10" s="1"/>
  <c r="J26" i="10"/>
  <c r="G26" i="10"/>
  <c r="J25" i="10"/>
  <c r="G25" i="10"/>
  <c r="J10" i="10" l="1"/>
  <c r="H36" i="10" l="1"/>
  <c r="G259" i="1" l="1"/>
  <c r="G258" i="1"/>
  <c r="G15" i="9" l="1"/>
  <c r="G16" i="9"/>
  <c r="G10" i="8" l="1"/>
  <c r="H444" i="3"/>
  <c r="I12" i="18" l="1"/>
  <c r="H12" i="18"/>
  <c r="J12" i="18"/>
  <c r="I17" i="18"/>
  <c r="J17" i="18" s="1"/>
  <c r="H17" i="18"/>
  <c r="I34" i="18"/>
  <c r="J34" i="18" s="1"/>
  <c r="H34" i="18"/>
  <c r="I42" i="18"/>
  <c r="H42" i="18"/>
  <c r="I46" i="18"/>
  <c r="H46" i="18"/>
  <c r="I52" i="18"/>
  <c r="J52" i="18" s="1"/>
  <c r="H52" i="18"/>
  <c r="G128" i="18"/>
  <c r="G127" i="18"/>
  <c r="J126" i="18"/>
  <c r="G126" i="18"/>
  <c r="J125" i="18"/>
  <c r="G125" i="18"/>
  <c r="J124" i="18"/>
  <c r="G124" i="18"/>
  <c r="J123" i="18"/>
  <c r="G123" i="18"/>
  <c r="J122" i="18"/>
  <c r="G122" i="18"/>
  <c r="J121" i="18"/>
  <c r="G121" i="18"/>
  <c r="J120" i="18"/>
  <c r="G120" i="18"/>
  <c r="J119" i="18"/>
  <c r="G119" i="18"/>
  <c r="J118" i="18"/>
  <c r="G118" i="18"/>
  <c r="J117" i="18"/>
  <c r="G117" i="18"/>
  <c r="J116" i="18"/>
  <c r="G116" i="18"/>
  <c r="J115" i="18"/>
  <c r="G115" i="18"/>
  <c r="J114" i="18"/>
  <c r="G114" i="18"/>
  <c r="I113" i="18"/>
  <c r="H113" i="18"/>
  <c r="I11" i="18" l="1"/>
  <c r="H11" i="18"/>
  <c r="J46" i="18"/>
  <c r="J42" i="18"/>
  <c r="J113" i="18"/>
  <c r="J112" i="18"/>
  <c r="J111" i="18"/>
  <c r="J110" i="18"/>
  <c r="J104" i="18"/>
  <c r="J101" i="18"/>
  <c r="J100" i="18"/>
  <c r="J98" i="18"/>
  <c r="J97" i="18"/>
  <c r="J94" i="18"/>
  <c r="J93" i="18"/>
  <c r="J91" i="18"/>
  <c r="J89" i="18"/>
  <c r="I88" i="18"/>
  <c r="J87" i="18"/>
  <c r="J86" i="18"/>
  <c r="J85" i="18"/>
  <c r="J84" i="18"/>
  <c r="J82" i="18"/>
  <c r="J81" i="18"/>
  <c r="J77" i="18"/>
  <c r="J76" i="18"/>
  <c r="J73" i="18"/>
  <c r="J69" i="18"/>
  <c r="J67" i="18"/>
  <c r="J65" i="18"/>
  <c r="J64" i="18"/>
  <c r="J62" i="18"/>
  <c r="J61" i="18"/>
  <c r="H103" i="18"/>
  <c r="J103" i="18" s="1"/>
  <c r="H96" i="18"/>
  <c r="H70" i="18"/>
  <c r="I105" i="18" l="1"/>
  <c r="G112" i="18"/>
  <c r="G111" i="18"/>
  <c r="G110" i="18"/>
  <c r="G109" i="18"/>
  <c r="G108" i="18"/>
  <c r="G107" i="18"/>
  <c r="G106" i="18"/>
  <c r="H105" i="18"/>
  <c r="G104" i="18"/>
  <c r="G103" i="18"/>
  <c r="I102" i="18"/>
  <c r="J102" i="18" s="1"/>
  <c r="H102" i="18"/>
  <c r="G101" i="18"/>
  <c r="G100" i="18"/>
  <c r="I99" i="18"/>
  <c r="J99" i="18" s="1"/>
  <c r="H99" i="18"/>
  <c r="G98" i="18"/>
  <c r="G97" i="18"/>
  <c r="I96" i="18"/>
  <c r="J96" i="18" s="1"/>
  <c r="G95" i="18"/>
  <c r="G94" i="18"/>
  <c r="G93" i="18"/>
  <c r="I92" i="18"/>
  <c r="H92" i="18"/>
  <c r="G91" i="18"/>
  <c r="I90" i="18"/>
  <c r="H90" i="18"/>
  <c r="G89" i="18"/>
  <c r="H88" i="18"/>
  <c r="J88" i="18" s="1"/>
  <c r="G87" i="18"/>
  <c r="G86" i="18"/>
  <c r="G85" i="18"/>
  <c r="G84" i="18"/>
  <c r="I83" i="18"/>
  <c r="H83" i="18"/>
  <c r="G82" i="18"/>
  <c r="G81" i="18"/>
  <c r="I80" i="18"/>
  <c r="H80" i="18"/>
  <c r="G79" i="18"/>
  <c r="I78" i="18"/>
  <c r="H78" i="18"/>
  <c r="G77" i="18"/>
  <c r="G76" i="18"/>
  <c r="I75" i="18"/>
  <c r="H75" i="18"/>
  <c r="G74" i="18"/>
  <c r="G73" i="18"/>
  <c r="G72" i="18"/>
  <c r="G71" i="18"/>
  <c r="I70" i="18"/>
  <c r="J70" i="18" s="1"/>
  <c r="G69" i="18"/>
  <c r="G68" i="18"/>
  <c r="G67" i="18"/>
  <c r="I66" i="18"/>
  <c r="H66" i="18"/>
  <c r="G65" i="18"/>
  <c r="G64" i="18"/>
  <c r="I63" i="18"/>
  <c r="J63" i="18" s="1"/>
  <c r="H63" i="18"/>
  <c r="G62" i="18"/>
  <c r="G61" i="18"/>
  <c r="I60" i="18"/>
  <c r="H60" i="18"/>
  <c r="H59" i="18" s="1"/>
  <c r="H58" i="18" s="1"/>
  <c r="J60" i="18" l="1"/>
  <c r="J80" i="18"/>
  <c r="J83" i="18"/>
  <c r="J90" i="18"/>
  <c r="J66" i="18"/>
  <c r="J75" i="18"/>
  <c r="I59" i="18"/>
  <c r="J92" i="18"/>
  <c r="I58" i="18" l="1"/>
  <c r="J59" i="18"/>
  <c r="J58" i="18" l="1"/>
  <c r="J10" i="18" l="1"/>
  <c r="J9" i="18" s="1"/>
  <c r="G10" i="18"/>
  <c r="I9" i="18"/>
  <c r="I8" i="18" s="1"/>
  <c r="H9" i="18"/>
  <c r="H8" i="18" s="1"/>
  <c r="J8" i="18" l="1"/>
  <c r="J57" i="18"/>
  <c r="G57" i="18"/>
  <c r="J56" i="18"/>
  <c r="G56" i="18"/>
  <c r="J55" i="18"/>
  <c r="G55" i="18"/>
  <c r="J54" i="18"/>
  <c r="G54" i="18"/>
  <c r="J53" i="18"/>
  <c r="G53" i="18"/>
  <c r="J51" i="18"/>
  <c r="G51" i="18"/>
  <c r="J50" i="18"/>
  <c r="G50" i="18"/>
  <c r="J49" i="18"/>
  <c r="G49" i="18"/>
  <c r="J48" i="18"/>
  <c r="G48" i="18"/>
  <c r="J47" i="18"/>
  <c r="G47" i="18"/>
  <c r="J45" i="18"/>
  <c r="G45" i="18"/>
  <c r="J44" i="18"/>
  <c r="G44" i="18"/>
  <c r="J43" i="18"/>
  <c r="G43" i="18"/>
  <c r="J41" i="18"/>
  <c r="G41" i="18"/>
  <c r="J40" i="18"/>
  <c r="G40" i="18"/>
  <c r="J39" i="18"/>
  <c r="G39" i="18"/>
  <c r="J38" i="18"/>
  <c r="G38" i="18"/>
  <c r="J37" i="18"/>
  <c r="G37" i="18"/>
  <c r="J36" i="18"/>
  <c r="G36" i="18"/>
  <c r="J35" i="18"/>
  <c r="G35" i="18"/>
  <c r="J33" i="18"/>
  <c r="G33" i="18"/>
  <c r="J32" i="18"/>
  <c r="G32" i="18"/>
  <c r="J31" i="18"/>
  <c r="G31" i="18"/>
  <c r="J30" i="18"/>
  <c r="G30" i="18"/>
  <c r="J29" i="18"/>
  <c r="G29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20" i="18"/>
  <c r="G20" i="18"/>
  <c r="J19" i="18"/>
  <c r="G19" i="18"/>
  <c r="J18" i="18"/>
  <c r="G18" i="18"/>
  <c r="J15" i="18"/>
  <c r="G15" i="18"/>
  <c r="J14" i="18"/>
  <c r="G14" i="18"/>
  <c r="J13" i="18"/>
  <c r="G13" i="18"/>
  <c r="J11" i="18" l="1"/>
  <c r="I40" i="17" l="1"/>
  <c r="J40" i="17" s="1"/>
  <c r="H40" i="17"/>
  <c r="J41" i="17"/>
  <c r="G41" i="17"/>
  <c r="J39" i="17" l="1"/>
  <c r="J38" i="17"/>
  <c r="I36" i="17"/>
  <c r="I35" i="17" s="1"/>
  <c r="H36" i="17"/>
  <c r="G39" i="17"/>
  <c r="G38" i="17"/>
  <c r="J37" i="17"/>
  <c r="G37" i="17"/>
  <c r="J36" i="17" l="1"/>
  <c r="H35" i="17"/>
  <c r="J35" i="17" s="1"/>
  <c r="J34" i="17"/>
  <c r="G34" i="17"/>
  <c r="J33" i="17"/>
  <c r="G33" i="17"/>
  <c r="I32" i="17"/>
  <c r="J32" i="17" s="1"/>
  <c r="H32" i="17"/>
  <c r="J31" i="17"/>
  <c r="G31" i="17"/>
  <c r="J30" i="17"/>
  <c r="G30" i="17"/>
  <c r="J29" i="17"/>
  <c r="G29" i="17"/>
  <c r="J28" i="17"/>
  <c r="G28" i="17"/>
  <c r="J27" i="17"/>
  <c r="G27" i="17"/>
  <c r="J26" i="17"/>
  <c r="G26" i="17"/>
  <c r="J25" i="17"/>
  <c r="G25" i="17"/>
  <c r="I24" i="17"/>
  <c r="J24" i="17" s="1"/>
  <c r="H24" i="17"/>
  <c r="J23" i="17"/>
  <c r="G23" i="17"/>
  <c r="J22" i="17"/>
  <c r="G22" i="17"/>
  <c r="J21" i="17"/>
  <c r="G21" i="17"/>
  <c r="I20" i="17"/>
  <c r="J20" i="17" s="1"/>
  <c r="H20" i="17"/>
  <c r="J19" i="17"/>
  <c r="G19" i="17"/>
  <c r="J18" i="17"/>
  <c r="G18" i="17"/>
  <c r="I17" i="17"/>
  <c r="H17" i="17"/>
  <c r="J16" i="17"/>
  <c r="G16" i="17"/>
  <c r="J15" i="17"/>
  <c r="G15" i="17"/>
  <c r="J14" i="17"/>
  <c r="G14" i="17"/>
  <c r="I13" i="17"/>
  <c r="H13" i="17"/>
  <c r="I12" i="17"/>
  <c r="J12" i="17" s="1"/>
  <c r="G12" i="17"/>
  <c r="J11" i="17"/>
  <c r="G11" i="17"/>
  <c r="I10" i="17"/>
  <c r="I9" i="17" s="1"/>
  <c r="H10" i="17"/>
  <c r="H9" i="17" l="1"/>
  <c r="H8" i="17" s="1"/>
  <c r="I8" i="17"/>
  <c r="J13" i="17"/>
  <c r="J17" i="17"/>
  <c r="J10" i="17"/>
  <c r="J8" i="17" l="1"/>
  <c r="J9" i="17"/>
  <c r="I295" i="16"/>
  <c r="I294" i="16" s="1"/>
  <c r="H295" i="16"/>
  <c r="H294" i="16" s="1"/>
  <c r="I257" i="16"/>
  <c r="J290" i="16"/>
  <c r="G290" i="16"/>
  <c r="I289" i="16"/>
  <c r="H289" i="16"/>
  <c r="J288" i="16"/>
  <c r="G288" i="16"/>
  <c r="J287" i="16"/>
  <c r="G287" i="16"/>
  <c r="J286" i="16"/>
  <c r="G286" i="16"/>
  <c r="I285" i="16"/>
  <c r="H285" i="16"/>
  <c r="H256" i="16" s="1"/>
  <c r="H291" i="16"/>
  <c r="J280" i="16"/>
  <c r="J297" i="16"/>
  <c r="J296" i="16"/>
  <c r="I250" i="16"/>
  <c r="H250" i="16"/>
  <c r="I256" i="16" l="1"/>
  <c r="J285" i="16"/>
  <c r="J289" i="16"/>
  <c r="J295" i="16"/>
  <c r="J294" i="16"/>
  <c r="I170" i="16" l="1"/>
  <c r="I92" i="16"/>
  <c r="J41" i="16"/>
  <c r="J51" i="16"/>
  <c r="G51" i="16"/>
  <c r="J50" i="16"/>
  <c r="G50" i="16"/>
  <c r="J49" i="16"/>
  <c r="G49" i="16"/>
  <c r="J48" i="16"/>
  <c r="G48" i="16"/>
  <c r="I47" i="16"/>
  <c r="J47" i="16" s="1"/>
  <c r="G47" i="16"/>
  <c r="J46" i="16"/>
  <c r="G46" i="16"/>
  <c r="J45" i="16"/>
  <c r="G45" i="16"/>
  <c r="J44" i="16"/>
  <c r="G44" i="16"/>
  <c r="J43" i="16"/>
  <c r="G43" i="16"/>
  <c r="J42" i="16"/>
  <c r="G42" i="16"/>
  <c r="G41" i="16"/>
  <c r="I40" i="16"/>
  <c r="H40" i="16"/>
  <c r="J39" i="16"/>
  <c r="G39" i="16"/>
  <c r="J38" i="16"/>
  <c r="G38" i="16"/>
  <c r="J37" i="16"/>
  <c r="G37" i="16"/>
  <c r="I36" i="16"/>
  <c r="H36" i="16"/>
  <c r="H35" i="16" s="1"/>
  <c r="J36" i="16" l="1"/>
  <c r="J40" i="16"/>
  <c r="I35" i="16"/>
  <c r="J35" i="16" l="1"/>
  <c r="I298" i="16" l="1"/>
  <c r="H298" i="16"/>
  <c r="J299" i="16"/>
  <c r="J298" i="16" l="1"/>
  <c r="G297" i="16" l="1"/>
  <c r="G296" i="16"/>
  <c r="G255" i="16" l="1"/>
  <c r="J293" i="16"/>
  <c r="I292" i="16"/>
  <c r="I291" i="16" s="1"/>
  <c r="J291" i="16" s="1"/>
  <c r="J292" i="16" l="1"/>
  <c r="J284" i="16" l="1"/>
  <c r="G284" i="16"/>
  <c r="J283" i="16"/>
  <c r="G283" i="16"/>
  <c r="J282" i="16"/>
  <c r="G282" i="16"/>
  <c r="J281" i="16"/>
  <c r="G281" i="16"/>
  <c r="G280" i="16"/>
  <c r="J279" i="16"/>
  <c r="G279" i="16"/>
  <c r="J278" i="16"/>
  <c r="G278" i="16"/>
  <c r="J277" i="16"/>
  <c r="G277" i="16"/>
  <c r="J276" i="16"/>
  <c r="G276" i="16"/>
  <c r="J275" i="16"/>
  <c r="G275" i="16"/>
  <c r="J274" i="16"/>
  <c r="G274" i="16"/>
  <c r="J273" i="16"/>
  <c r="G273" i="16"/>
  <c r="J272" i="16"/>
  <c r="G272" i="16"/>
  <c r="J271" i="16"/>
  <c r="G271" i="16"/>
  <c r="J270" i="16"/>
  <c r="G270" i="16"/>
  <c r="J269" i="16"/>
  <c r="G269" i="16"/>
  <c r="J268" i="16"/>
  <c r="G268" i="16"/>
  <c r="J267" i="16"/>
  <c r="G267" i="16"/>
  <c r="J266" i="16"/>
  <c r="G266" i="16"/>
  <c r="J265" i="16"/>
  <c r="G265" i="16"/>
  <c r="J264" i="16"/>
  <c r="G264" i="16"/>
  <c r="J263" i="16"/>
  <c r="G263" i="16"/>
  <c r="J262" i="16"/>
  <c r="G262" i="16"/>
  <c r="J261" i="16"/>
  <c r="G261" i="16"/>
  <c r="J260" i="16"/>
  <c r="G260" i="16"/>
  <c r="J259" i="16"/>
  <c r="G259" i="16"/>
  <c r="J258" i="16"/>
  <c r="G258" i="16"/>
  <c r="J257" i="16" l="1"/>
  <c r="J256" i="16"/>
  <c r="I254" i="16" l="1"/>
  <c r="I249" i="16" s="1"/>
  <c r="H254" i="16"/>
  <c r="H249" i="16" s="1"/>
  <c r="J255" i="16"/>
  <c r="J253" i="16"/>
  <c r="G253" i="16"/>
  <c r="J252" i="16"/>
  <c r="G252" i="16"/>
  <c r="J251" i="16"/>
  <c r="G251" i="16"/>
  <c r="J254" i="16" l="1"/>
  <c r="J249" i="16"/>
  <c r="J250" i="16"/>
  <c r="J248" i="16" l="1"/>
  <c r="I247" i="16"/>
  <c r="H247" i="16"/>
  <c r="J247" i="16" l="1"/>
  <c r="J246" i="16"/>
  <c r="I245" i="16"/>
  <c r="H245" i="16"/>
  <c r="J245" i="16" l="1"/>
  <c r="J244" i="16" l="1"/>
  <c r="G244" i="16"/>
  <c r="J243" i="16"/>
  <c r="F243" i="16"/>
  <c r="G243" i="16" s="1"/>
  <c r="I242" i="16"/>
  <c r="J242" i="16" s="1"/>
  <c r="F242" i="16"/>
  <c r="G242" i="16" s="1"/>
  <c r="I241" i="16"/>
  <c r="J241" i="16" s="1"/>
  <c r="F241" i="16"/>
  <c r="G241" i="16" s="1"/>
  <c r="I240" i="16"/>
  <c r="J240" i="16" s="1"/>
  <c r="F240" i="16"/>
  <c r="G240" i="16" s="1"/>
  <c r="I239" i="16"/>
  <c r="J239" i="16" s="1"/>
  <c r="F239" i="16"/>
  <c r="G239" i="16" s="1"/>
  <c r="I238" i="16"/>
  <c r="F238" i="16"/>
  <c r="G238" i="16" s="1"/>
  <c r="J237" i="16"/>
  <c r="F237" i="16"/>
  <c r="G237" i="16" s="1"/>
  <c r="H236" i="16"/>
  <c r="J238" i="16" l="1"/>
  <c r="I236" i="16"/>
  <c r="J236" i="16" s="1"/>
  <c r="J235" i="16"/>
  <c r="G235" i="16"/>
  <c r="I234" i="16"/>
  <c r="J234" i="16" s="1"/>
  <c r="G234" i="16"/>
  <c r="I233" i="16"/>
  <c r="J233" i="16" s="1"/>
  <c r="G233" i="16"/>
  <c r="J232" i="16"/>
  <c r="G232" i="16"/>
  <c r="J231" i="16"/>
  <c r="G231" i="16"/>
  <c r="I230" i="16"/>
  <c r="J230" i="16" s="1"/>
  <c r="G230" i="16"/>
  <c r="I229" i="16"/>
  <c r="J229" i="16" s="1"/>
  <c r="G229" i="16"/>
  <c r="I228" i="16"/>
  <c r="J228" i="16" s="1"/>
  <c r="G228" i="16"/>
  <c r="I227" i="16"/>
  <c r="J227" i="16" s="1"/>
  <c r="G227" i="16"/>
  <c r="J226" i="16"/>
  <c r="G226" i="16"/>
  <c r="J225" i="16"/>
  <c r="G225" i="16"/>
  <c r="J224" i="16"/>
  <c r="G224" i="16"/>
  <c r="I223" i="16"/>
  <c r="J223" i="16" s="1"/>
  <c r="G223" i="16"/>
  <c r="J222" i="16"/>
  <c r="G222" i="16"/>
  <c r="I221" i="16"/>
  <c r="J221" i="16" s="1"/>
  <c r="G221" i="16"/>
  <c r="J220" i="16"/>
  <c r="G220" i="16"/>
  <c r="H219" i="16" l="1"/>
  <c r="I219" i="16"/>
  <c r="J219" i="16" l="1"/>
  <c r="J218" i="16"/>
  <c r="G218" i="16"/>
  <c r="J217" i="16"/>
  <c r="G217" i="16"/>
  <c r="J216" i="16"/>
  <c r="G216" i="16"/>
  <c r="J215" i="16"/>
  <c r="G215" i="16"/>
  <c r="J214" i="16"/>
  <c r="G214" i="16"/>
  <c r="J213" i="16"/>
  <c r="G213" i="16"/>
  <c r="J212" i="16"/>
  <c r="G212" i="16"/>
  <c r="J211" i="16"/>
  <c r="G211" i="16"/>
  <c r="J210" i="16"/>
  <c r="G210" i="16"/>
  <c r="J209" i="16"/>
  <c r="G209" i="16"/>
  <c r="J208" i="16"/>
  <c r="G208" i="16"/>
  <c r="I207" i="16"/>
  <c r="I206" i="16" l="1"/>
  <c r="H207" i="16"/>
  <c r="J207" i="16" l="1"/>
  <c r="H206" i="16"/>
  <c r="J206" i="16" s="1"/>
  <c r="J205" i="16"/>
  <c r="G205" i="16"/>
  <c r="J204" i="16"/>
  <c r="G204" i="16"/>
  <c r="G203" i="16"/>
  <c r="J202" i="16"/>
  <c r="G202" i="16"/>
  <c r="J201" i="16"/>
  <c r="G201" i="16"/>
  <c r="J200" i="16"/>
  <c r="G200" i="16"/>
  <c r="J199" i="16"/>
  <c r="G199" i="16"/>
  <c r="J198" i="16"/>
  <c r="F198" i="16"/>
  <c r="E198" i="16"/>
  <c r="J197" i="16"/>
  <c r="F197" i="16"/>
  <c r="G197" i="16" s="1"/>
  <c r="I196" i="16"/>
  <c r="J195" i="16"/>
  <c r="G195" i="16"/>
  <c r="J194" i="16"/>
  <c r="G194" i="16"/>
  <c r="J193" i="16"/>
  <c r="G193" i="16"/>
  <c r="J192" i="16"/>
  <c r="G192" i="16"/>
  <c r="I191" i="16"/>
  <c r="J190" i="16"/>
  <c r="G190" i="16"/>
  <c r="J189" i="16"/>
  <c r="G189" i="16"/>
  <c r="J188" i="16"/>
  <c r="G188" i="16"/>
  <c r="J187" i="16"/>
  <c r="G187" i="16"/>
  <c r="J186" i="16"/>
  <c r="E186" i="16"/>
  <c r="G186" i="16" s="1"/>
  <c r="J185" i="16"/>
  <c r="G185" i="16"/>
  <c r="I184" i="16"/>
  <c r="H184" i="16"/>
  <c r="J183" i="16"/>
  <c r="G183" i="16"/>
  <c r="J182" i="16"/>
  <c r="G182" i="16"/>
  <c r="J181" i="16"/>
  <c r="G181" i="16"/>
  <c r="J180" i="16"/>
  <c r="G180" i="16"/>
  <c r="J179" i="16"/>
  <c r="G179" i="16"/>
  <c r="J178" i="16"/>
  <c r="G178" i="16"/>
  <c r="J177" i="16"/>
  <c r="G177" i="16"/>
  <c r="J176" i="16"/>
  <c r="G176" i="16"/>
  <c r="I175" i="16"/>
  <c r="H175" i="16"/>
  <c r="J174" i="16"/>
  <c r="G174" i="16"/>
  <c r="J173" i="16"/>
  <c r="G173" i="16"/>
  <c r="J172" i="16"/>
  <c r="G172" i="16"/>
  <c r="J171" i="16"/>
  <c r="G171" i="16"/>
  <c r="J170" i="16"/>
  <c r="G170" i="16"/>
  <c r="J169" i="16"/>
  <c r="G169" i="16"/>
  <c r="I168" i="16"/>
  <c r="J168" i="16" s="1"/>
  <c r="G168" i="16"/>
  <c r="H167" i="16"/>
  <c r="J184" i="16" l="1"/>
  <c r="G198" i="16"/>
  <c r="H196" i="16"/>
  <c r="J196" i="16" s="1"/>
  <c r="J175" i="16"/>
  <c r="I167" i="16"/>
  <c r="I166" i="16" s="1"/>
  <c r="H191" i="16"/>
  <c r="J191" i="16" s="1"/>
  <c r="H166" i="16" l="1"/>
  <c r="J167" i="16"/>
  <c r="J166" i="16" l="1"/>
  <c r="J165" i="16" l="1"/>
  <c r="G165" i="16"/>
  <c r="J164" i="16"/>
  <c r="G164" i="16"/>
  <c r="J163" i="16"/>
  <c r="G163" i="16"/>
  <c r="J162" i="16"/>
  <c r="G162" i="16"/>
  <c r="J161" i="16"/>
  <c r="G161" i="16"/>
  <c r="J160" i="16"/>
  <c r="G160" i="16"/>
  <c r="J159" i="16"/>
  <c r="G159" i="16"/>
  <c r="J158" i="16"/>
  <c r="G158" i="16"/>
  <c r="J157" i="16"/>
  <c r="G157" i="16"/>
  <c r="J156" i="16"/>
  <c r="G156" i="16"/>
  <c r="J155" i="16"/>
  <c r="G155" i="16"/>
  <c r="J154" i="16"/>
  <c r="G154" i="16"/>
  <c r="J153" i="16"/>
  <c r="G153" i="16"/>
  <c r="J152" i="16"/>
  <c r="G152" i="16"/>
  <c r="J151" i="16"/>
  <c r="G151" i="16"/>
  <c r="J150" i="16"/>
  <c r="G150" i="16"/>
  <c r="J149" i="16"/>
  <c r="G149" i="16"/>
  <c r="J148" i="16"/>
  <c r="G148" i="16"/>
  <c r="J147" i="16"/>
  <c r="G147" i="16"/>
  <c r="J146" i="16"/>
  <c r="G146" i="16"/>
  <c r="I145" i="16"/>
  <c r="H145" i="16"/>
  <c r="J145" i="16" l="1"/>
  <c r="G144" i="16" l="1"/>
  <c r="I144" i="16" s="1"/>
  <c r="J144" i="16" s="1"/>
  <c r="J143" i="16"/>
  <c r="G143" i="16"/>
  <c r="G142" i="16"/>
  <c r="I142" i="16" s="1"/>
  <c r="J142" i="16" s="1"/>
  <c r="G141" i="16"/>
  <c r="I141" i="16" s="1"/>
  <c r="J141" i="16" s="1"/>
  <c r="G140" i="16"/>
  <c r="I140" i="16" s="1"/>
  <c r="J140" i="16" s="1"/>
  <c r="J139" i="16"/>
  <c r="G139" i="16"/>
  <c r="F138" i="16"/>
  <c r="G138" i="16" s="1"/>
  <c r="I138" i="16" s="1"/>
  <c r="J138" i="16" s="1"/>
  <c r="G137" i="16"/>
  <c r="I137" i="16" s="1"/>
  <c r="J137" i="16" s="1"/>
  <c r="G136" i="16"/>
  <c r="I136" i="16" s="1"/>
  <c r="J136" i="16" s="1"/>
  <c r="F135" i="16"/>
  <c r="G135" i="16" s="1"/>
  <c r="I135" i="16" s="1"/>
  <c r="J135" i="16" s="1"/>
  <c r="J132" i="16"/>
  <c r="G132" i="16"/>
  <c r="G131" i="16"/>
  <c r="I131" i="16" s="1"/>
  <c r="J131" i="16" s="1"/>
  <c r="G130" i="16"/>
  <c r="I130" i="16" s="1"/>
  <c r="J130" i="16" s="1"/>
  <c r="G129" i="16"/>
  <c r="I129" i="16" s="1"/>
  <c r="J129" i="16" s="1"/>
  <c r="G128" i="16"/>
  <c r="I128" i="16" s="1"/>
  <c r="J127" i="16"/>
  <c r="G127" i="16"/>
  <c r="J126" i="16"/>
  <c r="F126" i="16"/>
  <c r="G126" i="16" s="1"/>
  <c r="H125" i="16" l="1"/>
  <c r="F144" i="16"/>
  <c r="I125" i="16"/>
  <c r="J128" i="16"/>
  <c r="J125" i="16" l="1"/>
  <c r="J124" i="16"/>
  <c r="G124" i="16"/>
  <c r="J123" i="16"/>
  <c r="J122" i="16"/>
  <c r="J121" i="16"/>
  <c r="J120" i="16"/>
  <c r="J119" i="16"/>
  <c r="G119" i="16"/>
  <c r="J118" i="16"/>
  <c r="G118" i="16"/>
  <c r="J117" i="16"/>
  <c r="G117" i="16"/>
  <c r="I116" i="16"/>
  <c r="H116" i="16"/>
  <c r="J116" i="16" l="1"/>
  <c r="J115" i="16"/>
  <c r="G115" i="16"/>
  <c r="J114" i="16"/>
  <c r="G113" i="16"/>
  <c r="G112" i="16"/>
  <c r="J111" i="16"/>
  <c r="G111" i="16"/>
  <c r="J110" i="16"/>
  <c r="G110" i="16"/>
  <c r="J109" i="16"/>
  <c r="G109" i="16"/>
  <c r="J108" i="16"/>
  <c r="G108" i="16"/>
  <c r="J107" i="16"/>
  <c r="G107" i="16"/>
  <c r="I106" i="16"/>
  <c r="H106" i="16"/>
  <c r="J106" i="16" l="1"/>
  <c r="J105" i="16" l="1"/>
  <c r="G105" i="16"/>
  <c r="J104" i="16"/>
  <c r="G104" i="16"/>
  <c r="J103" i="16"/>
  <c r="G103" i="16"/>
  <c r="J102" i="16"/>
  <c r="G102" i="16"/>
  <c r="J101" i="16"/>
  <c r="G101" i="16"/>
  <c r="J100" i="16"/>
  <c r="G100" i="16"/>
  <c r="J99" i="16"/>
  <c r="G99" i="16"/>
  <c r="J98" i="16"/>
  <c r="G98" i="16"/>
  <c r="J97" i="16"/>
  <c r="G97" i="16"/>
  <c r="J96" i="16"/>
  <c r="G96" i="16"/>
  <c r="J95" i="16"/>
  <c r="G95" i="16"/>
  <c r="J94" i="16"/>
  <c r="G94" i="16"/>
  <c r="G93" i="16"/>
  <c r="J91" i="16"/>
  <c r="G91" i="16"/>
  <c r="G90" i="16"/>
  <c r="I89" i="16"/>
  <c r="H81" i="16"/>
  <c r="G89" i="16"/>
  <c r="G88" i="16"/>
  <c r="J87" i="16"/>
  <c r="G87" i="16"/>
  <c r="J86" i="16"/>
  <c r="G86" i="16"/>
  <c r="J85" i="16"/>
  <c r="G85" i="16"/>
  <c r="G84" i="16"/>
  <c r="G83" i="16"/>
  <c r="J82" i="16"/>
  <c r="G82" i="16"/>
  <c r="J93" i="16" l="1"/>
  <c r="H92" i="16"/>
  <c r="H80" i="16" s="1"/>
  <c r="J89" i="16"/>
  <c r="I81" i="16"/>
  <c r="I80" i="16" l="1"/>
  <c r="J80" i="16" s="1"/>
  <c r="J92" i="16"/>
  <c r="J81" i="16"/>
  <c r="I73" i="16" l="1"/>
  <c r="H73" i="16"/>
  <c r="J73" i="16" l="1"/>
  <c r="J72" i="16" l="1"/>
  <c r="G72" i="16"/>
  <c r="J71" i="16"/>
  <c r="G71" i="16"/>
  <c r="J70" i="16"/>
  <c r="J69" i="16"/>
  <c r="G69" i="16"/>
  <c r="J68" i="16"/>
  <c r="G68" i="16"/>
  <c r="J67" i="16"/>
  <c r="G67" i="16"/>
  <c r="J66" i="16"/>
  <c r="G66" i="16"/>
  <c r="I65" i="16"/>
  <c r="H65" i="16"/>
  <c r="J64" i="16"/>
  <c r="G64" i="16"/>
  <c r="J63" i="16"/>
  <c r="G63" i="16"/>
  <c r="J62" i="16"/>
  <c r="G62" i="16"/>
  <c r="J61" i="16"/>
  <c r="G61" i="16"/>
  <c r="H54" i="16"/>
  <c r="G60" i="16"/>
  <c r="J59" i="16"/>
  <c r="G59" i="16"/>
  <c r="J58" i="16"/>
  <c r="G58" i="16"/>
  <c r="J57" i="16"/>
  <c r="G57" i="16"/>
  <c r="J56" i="16"/>
  <c r="G56" i="16"/>
  <c r="J55" i="16"/>
  <c r="G55" i="16"/>
  <c r="I54" i="16"/>
  <c r="J54" i="16" l="1"/>
  <c r="J60" i="16"/>
  <c r="J53" i="16" l="1"/>
  <c r="I52" i="16"/>
  <c r="H52" i="16"/>
  <c r="J34" i="16"/>
  <c r="F34" i="16" s="1"/>
  <c r="G34" i="16" s="1"/>
  <c r="I33" i="16"/>
  <c r="H33" i="16"/>
  <c r="J32" i="16"/>
  <c r="G32" i="16"/>
  <c r="J31" i="16"/>
  <c r="G31" i="16"/>
  <c r="H30" i="16"/>
  <c r="H14" i="16" s="1"/>
  <c r="G30" i="16"/>
  <c r="J29" i="16"/>
  <c r="G29" i="16"/>
  <c r="J28" i="16"/>
  <c r="G28" i="16"/>
  <c r="J27" i="16"/>
  <c r="G27" i="16"/>
  <c r="J26" i="16"/>
  <c r="G26" i="16"/>
  <c r="G25" i="16"/>
  <c r="G24" i="16"/>
  <c r="J23" i="16"/>
  <c r="G23" i="16"/>
  <c r="J22" i="16"/>
  <c r="G22" i="16"/>
  <c r="I21" i="16"/>
  <c r="J21" i="16" s="1"/>
  <c r="G21" i="16"/>
  <c r="J20" i="16"/>
  <c r="G20" i="16"/>
  <c r="J19" i="16"/>
  <c r="G19" i="16"/>
  <c r="G18" i="16"/>
  <c r="J17" i="16"/>
  <c r="J16" i="16"/>
  <c r="G16" i="16"/>
  <c r="J15" i="16"/>
  <c r="G15" i="16"/>
  <c r="I14" i="16"/>
  <c r="J13" i="16"/>
  <c r="F13" i="16" s="1"/>
  <c r="G13" i="16" s="1"/>
  <c r="I12" i="16"/>
  <c r="H12" i="16"/>
  <c r="J11" i="16"/>
  <c r="F11" i="16" s="1"/>
  <c r="G11" i="16" s="1"/>
  <c r="I10" i="16"/>
  <c r="H10" i="16"/>
  <c r="J32" i="15"/>
  <c r="G32" i="15"/>
  <c r="J31" i="15"/>
  <c r="G31" i="15"/>
  <c r="J30" i="15"/>
  <c r="G30" i="15"/>
  <c r="G29" i="15"/>
  <c r="G28" i="15"/>
  <c r="G27" i="15"/>
  <c r="J26" i="15"/>
  <c r="G26" i="15"/>
  <c r="J25" i="15"/>
  <c r="G25" i="15"/>
  <c r="J24" i="15"/>
  <c r="G24" i="15"/>
  <c r="G23" i="15"/>
  <c r="G22" i="15"/>
  <c r="G21" i="15"/>
  <c r="I20" i="15"/>
  <c r="J20" i="15" s="1"/>
  <c r="H20" i="15"/>
  <c r="G19" i="15"/>
  <c r="G18" i="15"/>
  <c r="J17" i="15"/>
  <c r="G17" i="15"/>
  <c r="I16" i="15"/>
  <c r="H16" i="15"/>
  <c r="J16" i="15" s="1"/>
  <c r="J15" i="15"/>
  <c r="G15" i="15"/>
  <c r="J14" i="15"/>
  <c r="G14" i="15"/>
  <c r="J13" i="15"/>
  <c r="G13" i="15"/>
  <c r="J12" i="15"/>
  <c r="G12" i="15"/>
  <c r="I11" i="15"/>
  <c r="H11" i="15"/>
  <c r="H10" i="15" s="1"/>
  <c r="H9" i="15" s="1"/>
  <c r="H8" i="15" s="1"/>
  <c r="J11" i="15" l="1"/>
  <c r="H8" i="16"/>
  <c r="J30" i="16"/>
  <c r="H9" i="16"/>
  <c r="J12" i="16"/>
  <c r="I8" i="16"/>
  <c r="J33" i="16"/>
  <c r="I9" i="16"/>
  <c r="J52" i="16"/>
  <c r="J10" i="16"/>
  <c r="I10" i="15"/>
  <c r="J8" i="16" l="1"/>
  <c r="J14" i="16"/>
  <c r="J9" i="16"/>
  <c r="I9" i="15"/>
  <c r="J10" i="15"/>
  <c r="J9" i="15" l="1"/>
  <c r="I8" i="15"/>
  <c r="J75" i="14"/>
  <c r="G75" i="14"/>
  <c r="J74" i="14"/>
  <c r="G74" i="14"/>
  <c r="I73" i="14"/>
  <c r="J73" i="14" s="1"/>
  <c r="H73" i="14"/>
  <c r="J72" i="14"/>
  <c r="J71" i="14"/>
  <c r="G71" i="14"/>
  <c r="J70" i="14"/>
  <c r="G70" i="14"/>
  <c r="J69" i="14"/>
  <c r="G69" i="14"/>
  <c r="J68" i="14"/>
  <c r="G68" i="14"/>
  <c r="J67" i="14"/>
  <c r="G67" i="14"/>
  <c r="J66" i="14"/>
  <c r="G66" i="14"/>
  <c r="J65" i="14"/>
  <c r="G65" i="14"/>
  <c r="I64" i="14"/>
  <c r="H64" i="14"/>
  <c r="J63" i="14"/>
  <c r="G63" i="14"/>
  <c r="J62" i="14"/>
  <c r="G62" i="14"/>
  <c r="H61" i="14"/>
  <c r="J61" i="14" s="1"/>
  <c r="G61" i="14"/>
  <c r="J60" i="14"/>
  <c r="G60" i="14"/>
  <c r="J59" i="14"/>
  <c r="G59" i="14"/>
  <c r="I58" i="14"/>
  <c r="J57" i="14"/>
  <c r="H57" i="14"/>
  <c r="G57" i="14"/>
  <c r="J56" i="14"/>
  <c r="G56" i="14"/>
  <c r="J55" i="14"/>
  <c r="G55" i="14"/>
  <c r="J54" i="14"/>
  <c r="G54" i="14"/>
  <c r="J53" i="14"/>
  <c r="G53" i="14"/>
  <c r="G52" i="14"/>
  <c r="J51" i="14"/>
  <c r="G51" i="14"/>
  <c r="G50" i="14"/>
  <c r="J49" i="14"/>
  <c r="G49" i="14"/>
  <c r="J48" i="14"/>
  <c r="G48" i="14"/>
  <c r="J47" i="14"/>
  <c r="G47" i="14"/>
  <c r="J46" i="14"/>
  <c r="G46" i="14"/>
  <c r="J45" i="14"/>
  <c r="I44" i="14"/>
  <c r="H44" i="14"/>
  <c r="J43" i="14"/>
  <c r="G43" i="14"/>
  <c r="J42" i="14"/>
  <c r="G42" i="14"/>
  <c r="J41" i="14"/>
  <c r="G41" i="14"/>
  <c r="I40" i="14"/>
  <c r="J40" i="14" s="1"/>
  <c r="H40" i="14"/>
  <c r="I39" i="14"/>
  <c r="J39" i="14" s="1"/>
  <c r="G39" i="14"/>
  <c r="J38" i="14"/>
  <c r="I38" i="14"/>
  <c r="G38" i="14"/>
  <c r="H37" i="14"/>
  <c r="I30" i="14"/>
  <c r="H30" i="14"/>
  <c r="I26" i="14"/>
  <c r="H26" i="14"/>
  <c r="I20" i="14"/>
  <c r="H20" i="14"/>
  <c r="I14" i="14"/>
  <c r="J14" i="14" s="1"/>
  <c r="H14" i="14"/>
  <c r="I10" i="14"/>
  <c r="H10" i="14"/>
  <c r="G22" i="14"/>
  <c r="G18" i="14"/>
  <c r="G17" i="14"/>
  <c r="G16" i="14"/>
  <c r="G15" i="14"/>
  <c r="G28" i="14"/>
  <c r="G27" i="14"/>
  <c r="G12" i="14"/>
  <c r="J10" i="14" l="1"/>
  <c r="H58" i="14"/>
  <c r="J58" i="14" s="1"/>
  <c r="J64" i="14"/>
  <c r="H9" i="14"/>
  <c r="J20" i="14"/>
  <c r="J30" i="14"/>
  <c r="H36" i="14"/>
  <c r="H35" i="14" s="1"/>
  <c r="H8" i="14" s="1"/>
  <c r="J44" i="14"/>
  <c r="J8" i="15"/>
  <c r="I37" i="14"/>
  <c r="I9" i="14"/>
  <c r="J26" i="14"/>
  <c r="J12" i="14"/>
  <c r="J21" i="14"/>
  <c r="J27" i="14"/>
  <c r="J31" i="14"/>
  <c r="J37" i="14" l="1"/>
  <c r="I36" i="14"/>
  <c r="J36" i="14" l="1"/>
  <c r="I35" i="14"/>
  <c r="J35" i="14" l="1"/>
  <c r="I8" i="14"/>
  <c r="J8" i="14" s="1"/>
  <c r="G52" i="11" l="1"/>
  <c r="G51" i="11"/>
  <c r="G50" i="11"/>
  <c r="G48" i="11"/>
  <c r="G45" i="11"/>
  <c r="G44" i="11"/>
  <c r="G43" i="11"/>
  <c r="G42" i="11"/>
  <c r="I42" i="11" s="1"/>
  <c r="I35" i="11" s="1"/>
  <c r="G38" i="11"/>
  <c r="J52" i="11"/>
  <c r="J51" i="11"/>
  <c r="J50" i="11"/>
  <c r="I49" i="11"/>
  <c r="J49" i="11" s="1"/>
  <c r="E49" i="11"/>
  <c r="G49" i="11" s="1"/>
  <c r="J48" i="11"/>
  <c r="I47" i="11"/>
  <c r="J47" i="11" s="1"/>
  <c r="H46" i="11"/>
  <c r="J45" i="11"/>
  <c r="J44" i="11"/>
  <c r="J43" i="11"/>
  <c r="J41" i="11"/>
  <c r="F41" i="11"/>
  <c r="G41" i="11" s="1"/>
  <c r="J40" i="11"/>
  <c r="F40" i="11"/>
  <c r="G40" i="11" s="1"/>
  <c r="J39" i="11"/>
  <c r="F39" i="11"/>
  <c r="G39" i="11" s="1"/>
  <c r="J38" i="11"/>
  <c r="F37" i="11"/>
  <c r="G37" i="11" s="1"/>
  <c r="J36" i="11"/>
  <c r="G36" i="11"/>
  <c r="H35" i="11"/>
  <c r="J34" i="11"/>
  <c r="J33" i="11"/>
  <c r="J32" i="11"/>
  <c r="H31" i="11" l="1"/>
  <c r="J35" i="11"/>
  <c r="E47" i="11"/>
  <c r="G47" i="11" s="1"/>
  <c r="I46" i="11"/>
  <c r="J46" i="11" s="1"/>
  <c r="J9" i="14"/>
  <c r="J42" i="11"/>
  <c r="I31" i="11" l="1"/>
  <c r="J31" i="11" s="1"/>
  <c r="J30" i="11"/>
  <c r="J29" i="11"/>
  <c r="I28" i="11"/>
  <c r="H28" i="11"/>
  <c r="J28" i="11" l="1"/>
  <c r="I26" i="11"/>
  <c r="J26" i="11" s="1"/>
  <c r="H26" i="11"/>
  <c r="J27" i="11" l="1"/>
  <c r="G27" i="11"/>
  <c r="G25" i="11"/>
  <c r="J25" i="11"/>
  <c r="J24" i="11"/>
  <c r="J23" i="11"/>
  <c r="J17" i="11"/>
  <c r="G24" i="11"/>
  <c r="G23" i="11"/>
  <c r="G22" i="11"/>
  <c r="G21" i="11"/>
  <c r="G20" i="11"/>
  <c r="G19" i="11"/>
  <c r="G18" i="11"/>
  <c r="G17" i="11"/>
  <c r="I16" i="11"/>
  <c r="H16" i="11"/>
  <c r="I10" i="11"/>
  <c r="I9" i="11" s="1"/>
  <c r="H10" i="11"/>
  <c r="J15" i="11"/>
  <c r="G15" i="11"/>
  <c r="J14" i="11"/>
  <c r="G14" i="11"/>
  <c r="J13" i="11"/>
  <c r="J12" i="11"/>
  <c r="G12" i="11"/>
  <c r="J11" i="11"/>
  <c r="G11" i="11"/>
  <c r="H9" i="11" l="1"/>
  <c r="H8" i="11" s="1"/>
  <c r="I8" i="11"/>
  <c r="J10" i="11"/>
  <c r="J16" i="11"/>
  <c r="J8" i="11" l="1"/>
  <c r="J9" i="11"/>
  <c r="I36" i="10"/>
  <c r="J82" i="10"/>
  <c r="J81" i="10"/>
  <c r="J80" i="10"/>
  <c r="G80" i="10"/>
  <c r="J79" i="10"/>
  <c r="J78" i="10"/>
  <c r="J77" i="10"/>
  <c r="J76" i="10"/>
  <c r="J75" i="10"/>
  <c r="J74" i="10"/>
  <c r="J73" i="10"/>
  <c r="J72" i="10"/>
  <c r="G72" i="10"/>
  <c r="J71" i="10"/>
  <c r="G71" i="10"/>
  <c r="J70" i="10"/>
  <c r="G70" i="10"/>
  <c r="J69" i="10"/>
  <c r="G69" i="10"/>
  <c r="J68" i="10"/>
  <c r="G68" i="10"/>
  <c r="J67" i="10"/>
  <c r="G67" i="10"/>
  <c r="J66" i="10"/>
  <c r="J65" i="10"/>
  <c r="J64" i="10"/>
  <c r="J63" i="10"/>
  <c r="J62" i="10"/>
  <c r="J61" i="10"/>
  <c r="J60" i="10"/>
  <c r="J59" i="10"/>
  <c r="J58" i="10"/>
  <c r="G58" i="10"/>
  <c r="J57" i="10"/>
  <c r="G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 l="1"/>
  <c r="I33" i="10" l="1"/>
  <c r="H33" i="10"/>
  <c r="J35" i="10"/>
  <c r="G35" i="10"/>
  <c r="J34" i="10"/>
  <c r="G34" i="10"/>
  <c r="J33" i="10" l="1"/>
  <c r="J28" i="10" l="1"/>
  <c r="I27" i="10"/>
  <c r="H27" i="10"/>
  <c r="J27" i="10" l="1"/>
  <c r="I29" i="10" l="1"/>
  <c r="I8" i="10" s="1"/>
  <c r="H29" i="10"/>
  <c r="H8" i="10" s="1"/>
  <c r="G32" i="10"/>
  <c r="G31" i="10"/>
  <c r="J30" i="10"/>
  <c r="G30" i="10"/>
  <c r="J29" i="10" l="1"/>
  <c r="G23" i="10" l="1"/>
  <c r="C12" i="10"/>
  <c r="J22" i="10"/>
  <c r="G22" i="10"/>
  <c r="J21" i="10"/>
  <c r="G21" i="10"/>
  <c r="J20" i="10"/>
  <c r="G20" i="10"/>
  <c r="J19" i="10"/>
  <c r="G19" i="10"/>
  <c r="J18" i="10"/>
  <c r="G18" i="10"/>
  <c r="J17" i="10"/>
  <c r="G17" i="10"/>
  <c r="J16" i="10"/>
  <c r="G16" i="10"/>
  <c r="J15" i="10"/>
  <c r="G15" i="10"/>
  <c r="J14" i="10"/>
  <c r="G14" i="10"/>
  <c r="J13" i="10"/>
  <c r="G13" i="10"/>
  <c r="J12" i="10"/>
  <c r="G12" i="10"/>
  <c r="J11" i="10"/>
  <c r="G11" i="10"/>
  <c r="J9" i="10" l="1"/>
  <c r="J88" i="9" l="1"/>
  <c r="G88" i="9"/>
  <c r="I87" i="9"/>
  <c r="H87" i="9"/>
  <c r="J86" i="9"/>
  <c r="G86" i="9"/>
  <c r="J85" i="9"/>
  <c r="G85" i="9"/>
  <c r="I84" i="9"/>
  <c r="H84" i="9"/>
  <c r="J83" i="9"/>
  <c r="G83" i="9"/>
  <c r="J82" i="9"/>
  <c r="G82" i="9"/>
  <c r="J81" i="9"/>
  <c r="G81" i="9"/>
  <c r="J80" i="9"/>
  <c r="G80" i="9"/>
  <c r="J79" i="9"/>
  <c r="G79" i="9"/>
  <c r="J78" i="9"/>
  <c r="G78" i="9"/>
  <c r="J77" i="9"/>
  <c r="G77" i="9"/>
  <c r="I76" i="9"/>
  <c r="H76" i="9"/>
  <c r="H75" i="9" s="1"/>
  <c r="G76" i="9"/>
  <c r="J74" i="9"/>
  <c r="G74" i="9"/>
  <c r="J73" i="9"/>
  <c r="G73" i="9"/>
  <c r="J72" i="9"/>
  <c r="G72" i="9"/>
  <c r="J71" i="9"/>
  <c r="G71" i="9"/>
  <c r="J70" i="9"/>
  <c r="G70" i="9"/>
  <c r="J69" i="9"/>
  <c r="G69" i="9"/>
  <c r="J68" i="9"/>
  <c r="G68" i="9"/>
  <c r="J67" i="9"/>
  <c r="G67" i="9"/>
  <c r="J66" i="9"/>
  <c r="G66" i="9"/>
  <c r="J65" i="9"/>
  <c r="G65" i="9"/>
  <c r="J64" i="9"/>
  <c r="G64" i="9"/>
  <c r="I63" i="9"/>
  <c r="J63" i="9" s="1"/>
  <c r="H63" i="9"/>
  <c r="J62" i="9"/>
  <c r="G62" i="9"/>
  <c r="J61" i="9"/>
  <c r="G61" i="9"/>
  <c r="J60" i="9"/>
  <c r="G60" i="9"/>
  <c r="J59" i="9"/>
  <c r="G59" i="9"/>
  <c r="J58" i="9"/>
  <c r="G58" i="9"/>
  <c r="J57" i="9"/>
  <c r="G57" i="9"/>
  <c r="J56" i="9"/>
  <c r="G56" i="9"/>
  <c r="J55" i="9"/>
  <c r="G55" i="9"/>
  <c r="I54" i="9"/>
  <c r="H54" i="9"/>
  <c r="J53" i="9"/>
  <c r="F53" i="9" s="1"/>
  <c r="G53" i="9" s="1"/>
  <c r="I52" i="9"/>
  <c r="H52" i="9"/>
  <c r="J51" i="9"/>
  <c r="G51" i="9"/>
  <c r="I50" i="9"/>
  <c r="H50" i="9"/>
  <c r="J49" i="9"/>
  <c r="G49" i="9"/>
  <c r="J48" i="9"/>
  <c r="G48" i="9"/>
  <c r="J47" i="9"/>
  <c r="G47" i="9"/>
  <c r="J46" i="9"/>
  <c r="G46" i="9"/>
  <c r="J45" i="9"/>
  <c r="G45" i="9"/>
  <c r="J44" i="9"/>
  <c r="G44" i="9"/>
  <c r="J43" i="9"/>
  <c r="G43" i="9"/>
  <c r="J42" i="9"/>
  <c r="G42" i="9"/>
  <c r="J41" i="9"/>
  <c r="G41" i="9"/>
  <c r="J40" i="9"/>
  <c r="G40" i="9"/>
  <c r="J39" i="9"/>
  <c r="G39" i="9"/>
  <c r="J38" i="9"/>
  <c r="G38" i="9"/>
  <c r="J37" i="9"/>
  <c r="G37" i="9"/>
  <c r="J36" i="9"/>
  <c r="G36" i="9"/>
  <c r="J35" i="9"/>
  <c r="G35" i="9"/>
  <c r="J34" i="9"/>
  <c r="G34" i="9"/>
  <c r="J33" i="9"/>
  <c r="G33" i="9"/>
  <c r="J32" i="9"/>
  <c r="G32" i="9"/>
  <c r="J31" i="9"/>
  <c r="G31" i="9"/>
  <c r="J30" i="9"/>
  <c r="G30" i="9"/>
  <c r="J29" i="9"/>
  <c r="G29" i="9"/>
  <c r="J28" i="9"/>
  <c r="G28" i="9"/>
  <c r="J27" i="9"/>
  <c r="G27" i="9"/>
  <c r="J26" i="9"/>
  <c r="G26" i="9"/>
  <c r="J25" i="9"/>
  <c r="G25" i="9"/>
  <c r="J24" i="9"/>
  <c r="I24" i="9"/>
  <c r="H24" i="9"/>
  <c r="J23" i="9"/>
  <c r="J76" i="9" l="1"/>
  <c r="J84" i="9"/>
  <c r="H23" i="9"/>
  <c r="J50" i="9"/>
  <c r="J54" i="9"/>
  <c r="J87" i="9"/>
  <c r="J8" i="10"/>
  <c r="J52" i="9"/>
  <c r="I75" i="9"/>
  <c r="J75" i="9" s="1"/>
  <c r="I23" i="9" l="1"/>
  <c r="I20" i="9" l="1"/>
  <c r="H20" i="9"/>
  <c r="J22" i="9"/>
  <c r="G22" i="9"/>
  <c r="J21" i="9"/>
  <c r="G21" i="9"/>
  <c r="J20" i="9" l="1"/>
  <c r="J19" i="9"/>
  <c r="I18" i="9"/>
  <c r="H18" i="9"/>
  <c r="J18" i="9" l="1"/>
  <c r="I11" i="9"/>
  <c r="H11" i="9"/>
  <c r="J17" i="9"/>
  <c r="G17" i="9"/>
  <c r="J11" i="9" l="1"/>
  <c r="J16" i="9"/>
  <c r="J15" i="9"/>
  <c r="J14" i="9"/>
  <c r="G14" i="9"/>
  <c r="J13" i="9"/>
  <c r="G13" i="9"/>
  <c r="J12" i="9"/>
  <c r="G12" i="9"/>
  <c r="I9" i="9"/>
  <c r="I8" i="9" s="1"/>
  <c r="H9" i="9"/>
  <c r="H8" i="9" s="1"/>
  <c r="J10" i="9"/>
  <c r="G10" i="9"/>
  <c r="J9" i="9" l="1"/>
  <c r="I9" i="8"/>
  <c r="I57" i="8"/>
  <c r="H57" i="8"/>
  <c r="J57" i="8" s="1"/>
  <c r="G61" i="8"/>
  <c r="G60" i="8"/>
  <c r="G59" i="8"/>
  <c r="J58" i="8"/>
  <c r="G58" i="8"/>
  <c r="J8" i="9" l="1"/>
  <c r="J56" i="8"/>
  <c r="G56" i="8"/>
  <c r="J55" i="8"/>
  <c r="G55" i="8"/>
  <c r="J54" i="8"/>
  <c r="G54" i="8"/>
  <c r="I53" i="8"/>
  <c r="J53" i="8" s="1"/>
  <c r="H53" i="8"/>
  <c r="J52" i="8"/>
  <c r="G52" i="8"/>
  <c r="J51" i="8"/>
  <c r="G51" i="8"/>
  <c r="J50" i="8"/>
  <c r="G50" i="8"/>
  <c r="J49" i="8"/>
  <c r="G49" i="8"/>
  <c r="I48" i="8"/>
  <c r="J48" i="8" s="1"/>
  <c r="G48" i="8"/>
  <c r="H47" i="8"/>
  <c r="J46" i="8"/>
  <c r="G46" i="8"/>
  <c r="J45" i="8"/>
  <c r="G45" i="8"/>
  <c r="J44" i="8"/>
  <c r="G44" i="8"/>
  <c r="J43" i="8"/>
  <c r="G43" i="8"/>
  <c r="J42" i="8"/>
  <c r="G42" i="8"/>
  <c r="J41" i="8"/>
  <c r="G41" i="8"/>
  <c r="J40" i="8"/>
  <c r="G40" i="8"/>
  <c r="J39" i="8"/>
  <c r="G39" i="8"/>
  <c r="J38" i="8"/>
  <c r="G38" i="8"/>
  <c r="J37" i="8"/>
  <c r="G37" i="8"/>
  <c r="J36" i="8"/>
  <c r="G36" i="8"/>
  <c r="I35" i="8"/>
  <c r="H35" i="8"/>
  <c r="J34" i="8"/>
  <c r="G34" i="8"/>
  <c r="J33" i="8"/>
  <c r="G33" i="8"/>
  <c r="I32" i="8"/>
  <c r="J32" i="8" s="1"/>
  <c r="G32" i="8"/>
  <c r="J31" i="8"/>
  <c r="G31" i="8"/>
  <c r="J30" i="8"/>
  <c r="G30" i="8"/>
  <c r="J29" i="8"/>
  <c r="G29" i="8"/>
  <c r="J28" i="8"/>
  <c r="G28" i="8"/>
  <c r="J27" i="8"/>
  <c r="G27" i="8"/>
  <c r="J26" i="8"/>
  <c r="G26" i="8"/>
  <c r="J25" i="8"/>
  <c r="G25" i="8"/>
  <c r="J24" i="8"/>
  <c r="G24" i="8"/>
  <c r="J23" i="8"/>
  <c r="G23" i="8"/>
  <c r="J22" i="8"/>
  <c r="G22" i="8"/>
  <c r="J21" i="8"/>
  <c r="G21" i="8"/>
  <c r="J20" i="8"/>
  <c r="G20" i="8"/>
  <c r="I19" i="8"/>
  <c r="J19" i="8" s="1"/>
  <c r="H19" i="8"/>
  <c r="J18" i="8"/>
  <c r="G18" i="8"/>
  <c r="J17" i="8"/>
  <c r="G17" i="8"/>
  <c r="H16" i="8"/>
  <c r="J16" i="8" s="1"/>
  <c r="G16" i="8"/>
  <c r="J15" i="8"/>
  <c r="G15" i="8"/>
  <c r="J14" i="8"/>
  <c r="G14" i="8"/>
  <c r="J13" i="8"/>
  <c r="G13" i="8"/>
  <c r="I12" i="8"/>
  <c r="J35" i="8" l="1"/>
  <c r="H12" i="8"/>
  <c r="I47" i="8"/>
  <c r="J47" i="8" l="1"/>
  <c r="I11" i="8"/>
  <c r="I8" i="8" s="1"/>
  <c r="H11" i="8"/>
  <c r="J12" i="8"/>
  <c r="J11" i="8" l="1"/>
  <c r="H9" i="8" l="1"/>
  <c r="H8" i="8" s="1"/>
  <c r="J10" i="8"/>
  <c r="J8" i="8"/>
  <c r="J387" i="3" l="1"/>
  <c r="J386" i="3"/>
  <c r="J385" i="3"/>
  <c r="J384" i="3"/>
  <c r="J371" i="3"/>
  <c r="J372" i="3"/>
  <c r="J363" i="3"/>
  <c r="J354" i="3"/>
  <c r="J352" i="3"/>
  <c r="J348" i="3"/>
  <c r="J343" i="3"/>
  <c r="J340" i="3"/>
  <c r="I356" i="3"/>
  <c r="I493" i="3"/>
  <c r="H383" i="3"/>
  <c r="H307" i="3"/>
  <c r="I265" i="3"/>
  <c r="I223" i="3"/>
  <c r="I206" i="3"/>
  <c r="I197" i="3"/>
  <c r="G60" i="3"/>
  <c r="G59" i="3"/>
  <c r="G57" i="3"/>
  <c r="G56" i="3"/>
  <c r="I129" i="3"/>
  <c r="J136" i="3"/>
  <c r="H135" i="3"/>
  <c r="J135" i="3" s="1"/>
  <c r="J134" i="3"/>
  <c r="H133" i="3"/>
  <c r="J133" i="3" s="1"/>
  <c r="J132" i="3"/>
  <c r="J131" i="3"/>
  <c r="J130" i="3"/>
  <c r="J128" i="3"/>
  <c r="J127" i="3"/>
  <c r="J126" i="3"/>
  <c r="H125" i="3"/>
  <c r="J125" i="3" s="1"/>
  <c r="J124" i="3"/>
  <c r="H123" i="3"/>
  <c r="J123" i="3" s="1"/>
  <c r="J122" i="3"/>
  <c r="J121" i="3"/>
  <c r="H119" i="3"/>
  <c r="J119" i="3" s="1"/>
  <c r="J118" i="3"/>
  <c r="J117" i="3"/>
  <c r="J116" i="3"/>
  <c r="H115" i="3"/>
  <c r="J115" i="3" s="1"/>
  <c r="J113" i="3"/>
  <c r="J109" i="3"/>
  <c r="J108" i="3"/>
  <c r="J107" i="3"/>
  <c r="J105" i="3"/>
  <c r="J104" i="3"/>
  <c r="J103" i="3"/>
  <c r="H102" i="3"/>
  <c r="J102" i="3" s="1"/>
  <c r="J101" i="3"/>
  <c r="I100" i="3"/>
  <c r="I99" i="3" s="1"/>
  <c r="H100" i="3"/>
  <c r="J97" i="3"/>
  <c r="J96" i="3"/>
  <c r="J95" i="3"/>
  <c r="I94" i="3"/>
  <c r="H94" i="3"/>
  <c r="J93" i="3"/>
  <c r="J92" i="3"/>
  <c r="J91" i="3"/>
  <c r="J90" i="3"/>
  <c r="J89" i="3"/>
  <c r="I88" i="3"/>
  <c r="H88" i="3"/>
  <c r="J86" i="3"/>
  <c r="J85" i="3"/>
  <c r="I84" i="3"/>
  <c r="H84" i="3"/>
  <c r="J83" i="3"/>
  <c r="J82" i="3"/>
  <c r="J81" i="3"/>
  <c r="I79" i="3"/>
  <c r="H79" i="3"/>
  <c r="J77" i="3"/>
  <c r="I76" i="3"/>
  <c r="H76" i="3"/>
  <c r="J73" i="3"/>
  <c r="G73" i="3"/>
  <c r="J72" i="3"/>
  <c r="G72" i="3"/>
  <c r="J71" i="3"/>
  <c r="G71" i="3"/>
  <c r="J70" i="3"/>
  <c r="G70" i="3"/>
  <c r="J69" i="3"/>
  <c r="G69" i="3"/>
  <c r="I68" i="3"/>
  <c r="H68" i="3"/>
  <c r="J66" i="3"/>
  <c r="J64" i="3"/>
  <c r="I63" i="3"/>
  <c r="J63" i="3" s="1"/>
  <c r="H62" i="3"/>
  <c r="H144" i="3"/>
  <c r="I144" i="3"/>
  <c r="G145" i="3"/>
  <c r="J145" i="3"/>
  <c r="G146" i="3"/>
  <c r="G147" i="3"/>
  <c r="G148" i="3"/>
  <c r="G149" i="3"/>
  <c r="G150" i="3"/>
  <c r="G151" i="3"/>
  <c r="G152" i="3"/>
  <c r="G153" i="3"/>
  <c r="G154" i="3"/>
  <c r="G155" i="3"/>
  <c r="G156" i="3"/>
  <c r="J156" i="3"/>
  <c r="G157" i="3"/>
  <c r="G158" i="3"/>
  <c r="G159" i="3"/>
  <c r="G160" i="3"/>
  <c r="H161" i="3"/>
  <c r="I161" i="3"/>
  <c r="G162" i="3"/>
  <c r="J162" i="3"/>
  <c r="H164" i="3"/>
  <c r="I164" i="3"/>
  <c r="J165" i="3"/>
  <c r="J166" i="3"/>
  <c r="J167" i="3"/>
  <c r="H171" i="3"/>
  <c r="H170" i="3" s="1"/>
  <c r="I172" i="3"/>
  <c r="I171" i="3" s="1"/>
  <c r="H174" i="3"/>
  <c r="H176" i="3"/>
  <c r="I176" i="3"/>
  <c r="G173" i="3"/>
  <c r="H181" i="3"/>
  <c r="I181" i="3"/>
  <c r="J182" i="3"/>
  <c r="J183" i="3"/>
  <c r="J184" i="3"/>
  <c r="H99" i="3" l="1"/>
  <c r="J99" i="3" s="1"/>
  <c r="H129" i="3"/>
  <c r="J129" i="3" s="1"/>
  <c r="I173" i="3"/>
  <c r="J161" i="3"/>
  <c r="J84" i="3"/>
  <c r="J181" i="3"/>
  <c r="H173" i="3"/>
  <c r="J173" i="3" s="1"/>
  <c r="I62" i="3"/>
  <c r="J62" i="3" s="1"/>
  <c r="J79" i="3"/>
  <c r="J144" i="3"/>
  <c r="J68" i="3"/>
  <c r="J76" i="3"/>
  <c r="J94" i="3"/>
  <c r="J172" i="3"/>
  <c r="J88" i="3"/>
  <c r="J100" i="3"/>
  <c r="I170" i="3"/>
  <c r="J171" i="3"/>
  <c r="J164" i="3"/>
  <c r="H61" i="3" l="1"/>
  <c r="H169" i="3"/>
  <c r="I61" i="3"/>
  <c r="I169" i="3"/>
  <c r="J169" i="3" s="1"/>
  <c r="J170" i="3"/>
  <c r="J61" i="3" l="1"/>
  <c r="J391" i="3"/>
  <c r="J499" i="3"/>
  <c r="J397" i="3"/>
  <c r="J396" i="3"/>
  <c r="J395" i="3"/>
  <c r="J394" i="3"/>
  <c r="J400" i="3"/>
  <c r="J399" i="3"/>
  <c r="J404" i="3"/>
  <c r="J422" i="3"/>
  <c r="J428" i="3"/>
  <c r="J492" i="3"/>
  <c r="G499" i="3"/>
  <c r="G497" i="3"/>
  <c r="G494" i="3"/>
  <c r="G491" i="3"/>
  <c r="G488" i="3"/>
  <c r="G486" i="3"/>
  <c r="G484" i="3"/>
  <c r="G479" i="3"/>
  <c r="G468" i="3"/>
  <c r="G467" i="3"/>
  <c r="G444" i="3"/>
  <c r="G441" i="3"/>
  <c r="G436" i="3"/>
  <c r="G421" i="3"/>
  <c r="G409" i="3"/>
  <c r="G401" i="3"/>
  <c r="G398" i="3"/>
  <c r="G393" i="3"/>
  <c r="I498" i="3"/>
  <c r="J498" i="3" s="1"/>
  <c r="I497" i="3"/>
  <c r="J497" i="3" s="1"/>
  <c r="I494" i="3"/>
  <c r="J494" i="3" s="1"/>
  <c r="I491" i="3"/>
  <c r="I490" i="3" s="1"/>
  <c r="H491" i="3"/>
  <c r="H490" i="3" s="1"/>
  <c r="I489" i="3"/>
  <c r="I488" i="3" s="1"/>
  <c r="H488" i="3"/>
  <c r="I487" i="3"/>
  <c r="J487" i="3" s="1"/>
  <c r="H486" i="3"/>
  <c r="I485" i="3"/>
  <c r="I484" i="3" s="1"/>
  <c r="H484" i="3"/>
  <c r="H482" i="3"/>
  <c r="J482" i="3" s="1"/>
  <c r="I481" i="3"/>
  <c r="G481" i="3"/>
  <c r="I480" i="3"/>
  <c r="I479" i="3" s="1"/>
  <c r="H479" i="3"/>
  <c r="G474" i="3"/>
  <c r="G473" i="3"/>
  <c r="I472" i="3"/>
  <c r="H472" i="3"/>
  <c r="I468" i="3"/>
  <c r="I466" i="3" s="1"/>
  <c r="H468" i="3"/>
  <c r="H466" i="3" s="1"/>
  <c r="I461" i="3"/>
  <c r="H461" i="3"/>
  <c r="I457" i="3"/>
  <c r="H457" i="3"/>
  <c r="I455" i="3"/>
  <c r="H455" i="3"/>
  <c r="G455" i="3"/>
  <c r="I453" i="3"/>
  <c r="H453" i="3"/>
  <c r="G453" i="3"/>
  <c r="G452" i="3"/>
  <c r="G448" i="3"/>
  <c r="I446" i="3"/>
  <c r="H446" i="3"/>
  <c r="G446" i="3"/>
  <c r="I444" i="3"/>
  <c r="I442" i="3"/>
  <c r="H442" i="3"/>
  <c r="G442" i="3"/>
  <c r="I438" i="3"/>
  <c r="H438" i="3"/>
  <c r="G438" i="3"/>
  <c r="I435" i="3"/>
  <c r="H435" i="3"/>
  <c r="I429" i="3"/>
  <c r="H429" i="3"/>
  <c r="I427" i="3"/>
  <c r="H427" i="3"/>
  <c r="I425" i="3"/>
  <c r="H425" i="3"/>
  <c r="I423" i="3"/>
  <c r="H423" i="3"/>
  <c r="I421" i="3"/>
  <c r="H421" i="3"/>
  <c r="I418" i="3"/>
  <c r="H418" i="3"/>
  <c r="E417" i="3"/>
  <c r="G417" i="3" s="1"/>
  <c r="I413" i="3"/>
  <c r="H413" i="3"/>
  <c r="G413" i="3"/>
  <c r="I411" i="3"/>
  <c r="H411" i="3"/>
  <c r="G411" i="3"/>
  <c r="H410" i="3"/>
  <c r="H409" i="3" s="1"/>
  <c r="I406" i="3"/>
  <c r="J406" i="3" s="1"/>
  <c r="I404" i="3"/>
  <c r="H401" i="3"/>
  <c r="I398" i="3"/>
  <c r="H398" i="3"/>
  <c r="I393" i="3"/>
  <c r="H393" i="3"/>
  <c r="G386" i="3"/>
  <c r="G385" i="3"/>
  <c r="G384" i="3"/>
  <c r="G373" i="3"/>
  <c r="G372" i="3"/>
  <c r="G371" i="3"/>
  <c r="I390" i="3"/>
  <c r="J390" i="3" s="1"/>
  <c r="H390" i="3"/>
  <c r="H388" i="3"/>
  <c r="I383" i="3"/>
  <c r="J381" i="3"/>
  <c r="J380" i="3"/>
  <c r="J379" i="3"/>
  <c r="I378" i="3"/>
  <c r="H378" i="3"/>
  <c r="J377" i="3"/>
  <c r="J376" i="3"/>
  <c r="I375" i="3"/>
  <c r="I374" i="3" s="1"/>
  <c r="H375" i="3"/>
  <c r="I370" i="3"/>
  <c r="H370" i="3"/>
  <c r="H369" i="3" s="1"/>
  <c r="J368" i="3"/>
  <c r="J367" i="3"/>
  <c r="J366" i="3"/>
  <c r="I361" i="3"/>
  <c r="H361" i="3"/>
  <c r="J360" i="3"/>
  <c r="J359" i="3"/>
  <c r="J358" i="3"/>
  <c r="J357" i="3"/>
  <c r="H356" i="3"/>
  <c r="I353" i="3"/>
  <c r="H353" i="3"/>
  <c r="I351" i="3"/>
  <c r="H351" i="3"/>
  <c r="J349" i="3"/>
  <c r="J347" i="3"/>
  <c r="I344" i="3"/>
  <c r="H344" i="3"/>
  <c r="I341" i="3"/>
  <c r="H341" i="3"/>
  <c r="G338" i="3"/>
  <c r="G333" i="3"/>
  <c r="G330" i="3"/>
  <c r="G327" i="3"/>
  <c r="G326" i="3"/>
  <c r="G324" i="3"/>
  <c r="G315" i="3"/>
  <c r="G313" i="3"/>
  <c r="G312" i="3"/>
  <c r="G311" i="3"/>
  <c r="G310" i="3"/>
  <c r="G309" i="3"/>
  <c r="G308" i="3"/>
  <c r="G334" i="3"/>
  <c r="I299" i="3"/>
  <c r="I297" i="3"/>
  <c r="J297" i="3" s="1"/>
  <c r="H296" i="3"/>
  <c r="J295" i="3"/>
  <c r="J294" i="3"/>
  <c r="I293" i="3"/>
  <c r="H293" i="3"/>
  <c r="I289" i="3"/>
  <c r="H289" i="3"/>
  <c r="J288" i="3"/>
  <c r="I287" i="3"/>
  <c r="J287" i="3" s="1"/>
  <c r="I286" i="3"/>
  <c r="J286" i="3" s="1"/>
  <c r="H285" i="3"/>
  <c r="J284" i="3"/>
  <c r="J283" i="3"/>
  <c r="I282" i="3"/>
  <c r="H282" i="3"/>
  <c r="I280" i="3"/>
  <c r="J280" i="3" s="1"/>
  <c r="H278" i="3"/>
  <c r="J277" i="3"/>
  <c r="J276" i="3"/>
  <c r="J275" i="3"/>
  <c r="I274" i="3"/>
  <c r="H274" i="3"/>
  <c r="J273" i="3"/>
  <c r="J272" i="3"/>
  <c r="J271" i="3"/>
  <c r="I270" i="3"/>
  <c r="H270" i="3"/>
  <c r="J269" i="3"/>
  <c r="J268" i="3"/>
  <c r="J267" i="3"/>
  <c r="J266" i="3"/>
  <c r="H265" i="3"/>
  <c r="J262" i="3"/>
  <c r="I259" i="3"/>
  <c r="H259" i="3"/>
  <c r="J258" i="3"/>
  <c r="I255" i="3"/>
  <c r="H255" i="3"/>
  <c r="J253" i="3"/>
  <c r="I250" i="3"/>
  <c r="H250" i="3"/>
  <c r="J248" i="3"/>
  <c r="I247" i="3"/>
  <c r="H247" i="3"/>
  <c r="J244" i="3"/>
  <c r="I243" i="3"/>
  <c r="H243" i="3"/>
  <c r="J242" i="3"/>
  <c r="J241" i="3"/>
  <c r="J240" i="3"/>
  <c r="I239" i="3"/>
  <c r="H239" i="3"/>
  <c r="J228" i="3"/>
  <c r="J225" i="3"/>
  <c r="J224" i="3"/>
  <c r="H223" i="3"/>
  <c r="J221" i="3"/>
  <c r="J220" i="3"/>
  <c r="J219" i="3"/>
  <c r="I218" i="3"/>
  <c r="H218" i="3"/>
  <c r="I214" i="3"/>
  <c r="H214" i="3"/>
  <c r="J209" i="3"/>
  <c r="J208" i="3"/>
  <c r="H206" i="3"/>
  <c r="J199" i="3"/>
  <c r="H197" i="3"/>
  <c r="H196" i="3"/>
  <c r="I194" i="3"/>
  <c r="J191" i="3"/>
  <c r="I190" i="3"/>
  <c r="H190" i="3"/>
  <c r="J189" i="3"/>
  <c r="J188" i="3"/>
  <c r="J187" i="3"/>
  <c r="I186" i="3"/>
  <c r="H186" i="3"/>
  <c r="J361" i="3" l="1"/>
  <c r="J341" i="3"/>
  <c r="J353" i="3"/>
  <c r="I369" i="3"/>
  <c r="J369" i="3" s="1"/>
  <c r="J370" i="3"/>
  <c r="J344" i="3"/>
  <c r="J351" i="3"/>
  <c r="I382" i="3"/>
  <c r="J383" i="3"/>
  <c r="J403" i="3"/>
  <c r="I401" i="3"/>
  <c r="J401" i="3" s="1"/>
  <c r="H452" i="3"/>
  <c r="H451" i="3" s="1"/>
  <c r="H465" i="3"/>
  <c r="I417" i="3"/>
  <c r="I222" i="3"/>
  <c r="J243" i="3"/>
  <c r="I434" i="3"/>
  <c r="J490" i="3"/>
  <c r="H213" i="3"/>
  <c r="I477" i="3"/>
  <c r="H185" i="3"/>
  <c r="J282" i="3"/>
  <c r="J356" i="3"/>
  <c r="J375" i="3"/>
  <c r="I193" i="3"/>
  <c r="I192" i="3" s="1"/>
  <c r="H417" i="3"/>
  <c r="H416" i="3" s="1"/>
  <c r="J186" i="3"/>
  <c r="I185" i="3"/>
  <c r="J206" i="3"/>
  <c r="J223" i="3"/>
  <c r="H246" i="3"/>
  <c r="H264" i="3"/>
  <c r="H263" i="3" s="1"/>
  <c r="J393" i="3"/>
  <c r="J427" i="3"/>
  <c r="J489" i="3"/>
  <c r="H483" i="3"/>
  <c r="J265" i="3"/>
  <c r="J398" i="3"/>
  <c r="I407" i="3"/>
  <c r="H434" i="3"/>
  <c r="I441" i="3"/>
  <c r="H441" i="3"/>
  <c r="J484" i="3"/>
  <c r="J488" i="3"/>
  <c r="J421" i="3"/>
  <c r="J485" i="3"/>
  <c r="J493" i="3"/>
  <c r="H254" i="3"/>
  <c r="I254" i="3"/>
  <c r="J274" i="3"/>
  <c r="J293" i="3"/>
  <c r="H382" i="3"/>
  <c r="I452" i="3"/>
  <c r="I451" i="3" s="1"/>
  <c r="H481" i="3"/>
  <c r="J481" i="3" s="1"/>
  <c r="I486" i="3"/>
  <c r="J466" i="3"/>
  <c r="J480" i="3"/>
  <c r="J218" i="3"/>
  <c r="J247" i="3"/>
  <c r="H350" i="3"/>
  <c r="J378" i="3"/>
  <c r="H374" i="3"/>
  <c r="H407" i="3"/>
  <c r="H392" i="3" s="1"/>
  <c r="J479" i="3"/>
  <c r="J491" i="3"/>
  <c r="J405" i="3"/>
  <c r="I465" i="3"/>
  <c r="I213" i="3"/>
  <c r="I296" i="3"/>
  <c r="J296" i="3" s="1"/>
  <c r="I350" i="3"/>
  <c r="J190" i="3"/>
  <c r="J239" i="3"/>
  <c r="J259" i="3"/>
  <c r="J270" i="3"/>
  <c r="I285" i="3"/>
  <c r="J285" i="3" s="1"/>
  <c r="H193" i="3"/>
  <c r="H192" i="3" s="1"/>
  <c r="H222" i="3"/>
  <c r="J250" i="3"/>
  <c r="H355" i="3"/>
  <c r="I355" i="3"/>
  <c r="J197" i="3"/>
  <c r="J255" i="3"/>
  <c r="I278" i="3"/>
  <c r="I246" i="3"/>
  <c r="J355" i="3" l="1"/>
  <c r="J382" i="3"/>
  <c r="J350" i="3"/>
  <c r="I392" i="3"/>
  <c r="J392" i="3" s="1"/>
  <c r="H212" i="3"/>
  <c r="H298" i="3" s="1"/>
  <c r="H168" i="3" s="1"/>
  <c r="H163" i="3" s="1"/>
  <c r="J452" i="3"/>
  <c r="J434" i="3"/>
  <c r="J246" i="3"/>
  <c r="J417" i="3"/>
  <c r="J213" i="3"/>
  <c r="J451" i="3"/>
  <c r="H433" i="3"/>
  <c r="H475" i="3" s="1"/>
  <c r="I416" i="3"/>
  <c r="I433" i="3"/>
  <c r="J185" i="3"/>
  <c r="J441" i="3"/>
  <c r="J407" i="3"/>
  <c r="J192" i="3"/>
  <c r="J222" i="3"/>
  <c r="H477" i="3"/>
  <c r="H476" i="3" s="1"/>
  <c r="J254" i="3"/>
  <c r="I483" i="3"/>
  <c r="J486" i="3"/>
  <c r="J374" i="3"/>
  <c r="J465" i="3"/>
  <c r="J193" i="3"/>
  <c r="I264" i="3"/>
  <c r="I263" i="3" s="1"/>
  <c r="J263" i="3" s="1"/>
  <c r="J278" i="3"/>
  <c r="J264" i="3" s="1"/>
  <c r="I212" i="3"/>
  <c r="J212" i="3" l="1"/>
  <c r="J433" i="3"/>
  <c r="I475" i="3"/>
  <c r="J475" i="3" s="1"/>
  <c r="J416" i="3"/>
  <c r="H496" i="3"/>
  <c r="J477" i="3"/>
  <c r="J483" i="3"/>
  <c r="I476" i="3"/>
  <c r="I298" i="3"/>
  <c r="I168" i="3" s="1"/>
  <c r="J168" i="3" l="1"/>
  <c r="I163" i="3"/>
  <c r="J476" i="3"/>
  <c r="I496" i="3"/>
  <c r="J496" i="3" s="1"/>
  <c r="J298" i="3"/>
  <c r="J163" i="3" l="1"/>
  <c r="J338" i="3" l="1"/>
  <c r="I337" i="3"/>
  <c r="H337" i="3"/>
  <c r="J336" i="3"/>
  <c r="I335" i="3"/>
  <c r="H335" i="3"/>
  <c r="I334" i="3"/>
  <c r="J334" i="3" s="1"/>
  <c r="I333" i="3"/>
  <c r="J333" i="3" s="1"/>
  <c r="J332" i="3"/>
  <c r="H331" i="3"/>
  <c r="J330" i="3"/>
  <c r="J327" i="3"/>
  <c r="J326" i="3"/>
  <c r="J325" i="3"/>
  <c r="J324" i="3"/>
  <c r="J320" i="3"/>
  <c r="J318" i="3"/>
  <c r="J317" i="3"/>
  <c r="J316" i="3"/>
  <c r="I315" i="3"/>
  <c r="J315" i="3" s="1"/>
  <c r="J314" i="3"/>
  <c r="J313" i="3"/>
  <c r="I312" i="3"/>
  <c r="J312" i="3" s="1"/>
  <c r="I311" i="3"/>
  <c r="J311" i="3" s="1"/>
  <c r="I310" i="3"/>
  <c r="J310" i="3" s="1"/>
  <c r="I309" i="3"/>
  <c r="J309" i="3" s="1"/>
  <c r="I308" i="3"/>
  <c r="J304" i="3"/>
  <c r="I303" i="3"/>
  <c r="I301" i="3" s="1"/>
  <c r="H303" i="3"/>
  <c r="H302" i="3"/>
  <c r="J300" i="3"/>
  <c r="H299" i="3"/>
  <c r="J299" i="3" s="1"/>
  <c r="E298" i="3"/>
  <c r="G297" i="3"/>
  <c r="G295" i="3"/>
  <c r="G294" i="3"/>
  <c r="G246" i="3"/>
  <c r="G243" i="3"/>
  <c r="G239" i="3"/>
  <c r="G224" i="3"/>
  <c r="G214" i="3"/>
  <c r="G213" i="3" s="1"/>
  <c r="G193" i="3"/>
  <c r="J337" i="3" l="1"/>
  <c r="J303" i="3"/>
  <c r="H306" i="3"/>
  <c r="I331" i="3"/>
  <c r="J331" i="3" s="1"/>
  <c r="G222" i="3"/>
  <c r="H301" i="3"/>
  <c r="J301" i="3" s="1"/>
  <c r="I307" i="3"/>
  <c r="J307" i="3" s="1"/>
  <c r="J335" i="3"/>
  <c r="J302" i="3"/>
  <c r="J308" i="3"/>
  <c r="I306" i="3" l="1"/>
  <c r="J306" i="3" s="1"/>
  <c r="J339" i="3"/>
  <c r="I20" i="3" l="1"/>
  <c r="H20" i="3"/>
  <c r="J60" i="3"/>
  <c r="J59" i="3"/>
  <c r="G58" i="3"/>
  <c r="J56" i="3"/>
  <c r="I55" i="3"/>
  <c r="H55" i="3"/>
  <c r="G31" i="3"/>
  <c r="G21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0" i="3"/>
  <c r="G29" i="3"/>
  <c r="G28" i="3"/>
  <c r="G27" i="3"/>
  <c r="G26" i="3"/>
  <c r="G25" i="3"/>
  <c r="G24" i="3"/>
  <c r="G23" i="3"/>
  <c r="G22" i="3"/>
  <c r="G15" i="3"/>
  <c r="G17" i="3"/>
  <c r="J19" i="3"/>
  <c r="J18" i="3"/>
  <c r="J17" i="3"/>
  <c r="J16" i="3"/>
  <c r="G16" i="3"/>
  <c r="J15" i="3"/>
  <c r="G14" i="3"/>
  <c r="J13" i="3"/>
  <c r="G13" i="3"/>
  <c r="I11" i="3"/>
  <c r="H11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55" i="3" l="1"/>
  <c r="H10" i="3"/>
  <c r="H8" i="3" s="1"/>
  <c r="I10" i="3"/>
  <c r="I8" i="3" s="1"/>
  <c r="J20" i="3"/>
  <c r="I9" i="3" l="1"/>
  <c r="H9" i="3"/>
  <c r="J10" i="3"/>
  <c r="J9" i="3" l="1"/>
  <c r="J8" i="3"/>
  <c r="H59" i="7"/>
  <c r="J59" i="7" s="1"/>
  <c r="G59" i="7"/>
  <c r="I58" i="7"/>
  <c r="J57" i="7"/>
  <c r="G57" i="7"/>
  <c r="J56" i="7"/>
  <c r="G56" i="7"/>
  <c r="I55" i="7"/>
  <c r="J55" i="7" s="1"/>
  <c r="H55" i="7"/>
  <c r="J54" i="7"/>
  <c r="G54" i="7"/>
  <c r="J53" i="7"/>
  <c r="G53" i="7"/>
  <c r="J52" i="7"/>
  <c r="G52" i="7"/>
  <c r="J51" i="7"/>
  <c r="G51" i="7"/>
  <c r="J50" i="7"/>
  <c r="G50" i="7"/>
  <c r="J49" i="7"/>
  <c r="G49" i="7"/>
  <c r="J48" i="7"/>
  <c r="G48" i="7"/>
  <c r="J47" i="7"/>
  <c r="G47" i="7"/>
  <c r="J46" i="7"/>
  <c r="G46" i="7"/>
  <c r="J45" i="7"/>
  <c r="G45" i="7"/>
  <c r="J44" i="7"/>
  <c r="G44" i="7"/>
  <c r="J43" i="7"/>
  <c r="G43" i="7"/>
  <c r="J42" i="7"/>
  <c r="G42" i="7"/>
  <c r="J41" i="7"/>
  <c r="G41" i="7"/>
  <c r="I40" i="7"/>
  <c r="J40" i="7" s="1"/>
  <c r="H40" i="7"/>
  <c r="J39" i="7"/>
  <c r="G39" i="7"/>
  <c r="J38" i="7"/>
  <c r="G38" i="7"/>
  <c r="J37" i="7"/>
  <c r="G37" i="7"/>
  <c r="J36" i="7"/>
  <c r="G36" i="7"/>
  <c r="J35" i="7"/>
  <c r="G35" i="7"/>
  <c r="J34" i="7"/>
  <c r="G34" i="7"/>
  <c r="I33" i="7"/>
  <c r="J33" i="7" s="1"/>
  <c r="H33" i="7"/>
  <c r="J32" i="7"/>
  <c r="G32" i="7"/>
  <c r="J31" i="7"/>
  <c r="G31" i="7"/>
  <c r="J30" i="7"/>
  <c r="G30" i="7"/>
  <c r="J29" i="7"/>
  <c r="G29" i="7"/>
  <c r="J28" i="7"/>
  <c r="F28" i="7"/>
  <c r="G28" i="7" s="1"/>
  <c r="J27" i="7"/>
  <c r="G27" i="7"/>
  <c r="J26" i="7"/>
  <c r="G26" i="7"/>
  <c r="J25" i="7"/>
  <c r="G25" i="7"/>
  <c r="J24" i="7"/>
  <c r="G24" i="7"/>
  <c r="J23" i="7"/>
  <c r="G23" i="7"/>
  <c r="J22" i="7"/>
  <c r="G22" i="7"/>
  <c r="I21" i="7"/>
  <c r="J21" i="7" s="1"/>
  <c r="H21" i="7"/>
  <c r="J20" i="7"/>
  <c r="G20" i="7"/>
  <c r="J19" i="7"/>
  <c r="G19" i="7"/>
  <c r="J18" i="7"/>
  <c r="G18" i="7"/>
  <c r="I17" i="7"/>
  <c r="J17" i="7" s="1"/>
  <c r="H17" i="7"/>
  <c r="J16" i="7"/>
  <c r="F16" i="7"/>
  <c r="G16" i="7" s="1"/>
  <c r="J15" i="7"/>
  <c r="F15" i="7"/>
  <c r="G15" i="7" s="1"/>
  <c r="J14" i="7"/>
  <c r="F14" i="7"/>
  <c r="G14" i="7" s="1"/>
  <c r="J13" i="7"/>
  <c r="G13" i="7"/>
  <c r="J12" i="7"/>
  <c r="G12" i="7"/>
  <c r="I11" i="7"/>
  <c r="J11" i="7" s="1"/>
  <c r="H11" i="7"/>
  <c r="H10" i="7" s="1"/>
  <c r="H9" i="7" l="1"/>
  <c r="H8" i="7" s="1"/>
  <c r="H58" i="7"/>
  <c r="J58" i="7" s="1"/>
  <c r="I10" i="7"/>
  <c r="J10" i="7" s="1"/>
  <c r="H52" i="6"/>
  <c r="H38" i="6" s="1"/>
  <c r="G52" i="6"/>
  <c r="J51" i="6"/>
  <c r="G51" i="6"/>
  <c r="J50" i="6"/>
  <c r="G50" i="6"/>
  <c r="J49" i="6"/>
  <c r="G49" i="6"/>
  <c r="J48" i="6"/>
  <c r="G48" i="6"/>
  <c r="J47" i="6"/>
  <c r="G47" i="6"/>
  <c r="J46" i="6"/>
  <c r="G46" i="6"/>
  <c r="J45" i="6"/>
  <c r="G45" i="6"/>
  <c r="J44" i="6"/>
  <c r="G44" i="6"/>
  <c r="J43" i="6"/>
  <c r="G43" i="6"/>
  <c r="J42" i="6"/>
  <c r="G42" i="6"/>
  <c r="J41" i="6"/>
  <c r="G41" i="6"/>
  <c r="J40" i="6"/>
  <c r="G40" i="6"/>
  <c r="J39" i="6"/>
  <c r="G39" i="6"/>
  <c r="I38" i="6"/>
  <c r="J38" i="6" l="1"/>
  <c r="I9" i="7"/>
  <c r="J9" i="7" s="1"/>
  <c r="J52" i="6"/>
  <c r="I8" i="7" l="1"/>
  <c r="J8" i="7" s="1"/>
  <c r="J37" i="6"/>
  <c r="G37" i="6"/>
  <c r="J36" i="6"/>
  <c r="G36" i="6"/>
  <c r="J35" i="6"/>
  <c r="G35" i="6"/>
  <c r="I34" i="6"/>
  <c r="H34" i="6"/>
  <c r="J32" i="6"/>
  <c r="G32" i="6"/>
  <c r="J31" i="6"/>
  <c r="G31" i="6"/>
  <c r="J30" i="6"/>
  <c r="G30" i="6"/>
  <c r="I29" i="6"/>
  <c r="I27" i="6" s="1"/>
  <c r="G29" i="6"/>
  <c r="J28" i="6"/>
  <c r="G28" i="6"/>
  <c r="H27" i="6"/>
  <c r="J24" i="6"/>
  <c r="G24" i="6"/>
  <c r="J23" i="6"/>
  <c r="G23" i="6"/>
  <c r="I22" i="6"/>
  <c r="H22" i="6"/>
  <c r="J21" i="6"/>
  <c r="G21" i="6"/>
  <c r="I20" i="6"/>
  <c r="H20" i="6"/>
  <c r="J19" i="6"/>
  <c r="G19" i="6"/>
  <c r="I18" i="6"/>
  <c r="H18" i="6"/>
  <c r="J16" i="6"/>
  <c r="G16" i="6"/>
  <c r="I15" i="6"/>
  <c r="H15" i="6"/>
  <c r="J14" i="6"/>
  <c r="G14" i="6"/>
  <c r="J13" i="6"/>
  <c r="G13" i="6"/>
  <c r="J12" i="6"/>
  <c r="G12" i="6"/>
  <c r="I11" i="6"/>
  <c r="H11" i="6"/>
  <c r="H10" i="6" l="1"/>
  <c r="H9" i="6" s="1"/>
  <c r="H8" i="6" s="1"/>
  <c r="J34" i="6"/>
  <c r="J15" i="6"/>
  <c r="J20" i="6"/>
  <c r="J11" i="6"/>
  <c r="J18" i="6"/>
  <c r="J22" i="6"/>
  <c r="J27" i="6"/>
  <c r="I10" i="6"/>
  <c r="J29" i="6"/>
  <c r="J10" i="6" l="1"/>
  <c r="I9" i="6"/>
  <c r="H7" i="6"/>
  <c r="J9" i="6" l="1"/>
  <c r="I8" i="6"/>
  <c r="I7" i="6" s="1"/>
  <c r="J8" i="6" l="1"/>
  <c r="J7" i="6"/>
  <c r="J41" i="5"/>
  <c r="J40" i="5"/>
  <c r="J39" i="5"/>
  <c r="I38" i="5"/>
  <c r="J38" i="5" s="1"/>
  <c r="H38" i="5"/>
  <c r="J37" i="5"/>
  <c r="J36" i="5"/>
  <c r="J35" i="5"/>
  <c r="J34" i="5"/>
  <c r="I33" i="5"/>
  <c r="H33" i="5"/>
  <c r="J32" i="5"/>
  <c r="J31" i="5"/>
  <c r="J30" i="5"/>
  <c r="J29" i="5"/>
  <c r="J28" i="5"/>
  <c r="I27" i="5"/>
  <c r="J27" i="5" s="1"/>
  <c r="H27" i="5"/>
  <c r="H26" i="5" s="1"/>
  <c r="J33" i="5" l="1"/>
  <c r="I26" i="5"/>
  <c r="J26" i="5" s="1"/>
  <c r="I11" i="5"/>
  <c r="H11" i="5"/>
  <c r="J11" i="5" s="1"/>
  <c r="J25" i="5"/>
  <c r="G25" i="5"/>
  <c r="J24" i="5"/>
  <c r="G24" i="5"/>
  <c r="J23" i="5"/>
  <c r="J22" i="5"/>
  <c r="G22" i="5"/>
  <c r="J21" i="5"/>
  <c r="J20" i="5"/>
  <c r="J19" i="5"/>
  <c r="J18" i="5"/>
  <c r="J16" i="5"/>
  <c r="J15" i="5"/>
  <c r="J14" i="5"/>
  <c r="J13" i="5"/>
  <c r="G13" i="5"/>
  <c r="J12" i="5"/>
  <c r="I9" i="5" l="1"/>
  <c r="I8" i="5" s="1"/>
  <c r="J8" i="5" s="1"/>
  <c r="H9" i="5"/>
  <c r="H8" i="5" s="1"/>
  <c r="J10" i="5"/>
  <c r="J9" i="5" s="1"/>
  <c r="G10" i="5"/>
  <c r="J48" i="2" l="1"/>
  <c r="J45" i="2"/>
  <c r="J44" i="2"/>
  <c r="J42" i="2"/>
  <c r="I90" i="2" l="1"/>
  <c r="H90" i="2"/>
  <c r="J91" i="2"/>
  <c r="J269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93" i="2"/>
  <c r="J92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8" i="2"/>
  <c r="G267" i="2"/>
  <c r="G266" i="2"/>
  <c r="G265" i="2"/>
  <c r="G264" i="2"/>
  <c r="G263" i="2"/>
  <c r="G262" i="2"/>
  <c r="G260" i="2"/>
  <c r="G259" i="2"/>
  <c r="G258" i="2"/>
  <c r="G257" i="2"/>
  <c r="G256" i="2"/>
  <c r="G255" i="2"/>
  <c r="G254" i="2"/>
  <c r="G252" i="2"/>
  <c r="G251" i="2"/>
  <c r="G250" i="2"/>
  <c r="G248" i="2"/>
  <c r="G247" i="2"/>
  <c r="G246" i="2"/>
  <c r="G245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I305" i="2"/>
  <c r="H305" i="2"/>
  <c r="J308" i="2"/>
  <c r="J307" i="2"/>
  <c r="J306" i="2"/>
  <c r="J305" i="2" l="1"/>
  <c r="J90" i="2"/>
  <c r="I303" i="2"/>
  <c r="H303" i="2"/>
  <c r="J304" i="2"/>
  <c r="G304" i="2"/>
  <c r="J303" i="2" l="1"/>
  <c r="I301" i="2" l="1"/>
  <c r="H301" i="2"/>
  <c r="I28" i="2"/>
  <c r="H58" i="2"/>
  <c r="H55" i="2" s="1"/>
  <c r="H299" i="2"/>
  <c r="J302" i="2"/>
  <c r="G302" i="2"/>
  <c r="J301" i="2" l="1"/>
  <c r="J300" i="2"/>
  <c r="G300" i="2"/>
  <c r="G60" i="2" l="1"/>
  <c r="G59" i="2"/>
  <c r="J89" i="2"/>
  <c r="G89" i="2"/>
  <c r="J88" i="2"/>
  <c r="G88" i="2"/>
  <c r="I87" i="2"/>
  <c r="H87" i="2"/>
  <c r="J86" i="2"/>
  <c r="G86" i="2"/>
  <c r="I85" i="2"/>
  <c r="H85" i="2"/>
  <c r="J84" i="2"/>
  <c r="G84" i="2"/>
  <c r="G83" i="2"/>
  <c r="J82" i="2"/>
  <c r="G82" i="2"/>
  <c r="J81" i="2"/>
  <c r="G81" i="2"/>
  <c r="I80" i="2"/>
  <c r="H80" i="2"/>
  <c r="J79" i="2"/>
  <c r="G79" i="2"/>
  <c r="J78" i="2"/>
  <c r="G78" i="2"/>
  <c r="I77" i="2"/>
  <c r="H77" i="2"/>
  <c r="J76" i="2"/>
  <c r="G76" i="2"/>
  <c r="J75" i="2"/>
  <c r="G75" i="2"/>
  <c r="J74" i="2"/>
  <c r="G74" i="2"/>
  <c r="I73" i="2"/>
  <c r="H73" i="2"/>
  <c r="J72" i="2"/>
  <c r="G72" i="2"/>
  <c r="J71" i="2"/>
  <c r="G71" i="2"/>
  <c r="I70" i="2"/>
  <c r="H70" i="2"/>
  <c r="J69" i="2"/>
  <c r="G69" i="2"/>
  <c r="J68" i="2"/>
  <c r="G68" i="2"/>
  <c r="G67" i="2"/>
  <c r="I66" i="2"/>
  <c r="H66" i="2"/>
  <c r="J65" i="2"/>
  <c r="G65" i="2"/>
  <c r="J64" i="2"/>
  <c r="G64" i="2"/>
  <c r="J63" i="2"/>
  <c r="G63" i="2"/>
  <c r="I62" i="2"/>
  <c r="H62" i="2"/>
  <c r="H61" i="2" l="1"/>
  <c r="J77" i="2"/>
  <c r="J85" i="2"/>
  <c r="J87" i="2"/>
  <c r="J73" i="2"/>
  <c r="J62" i="2"/>
  <c r="J66" i="2"/>
  <c r="J70" i="2"/>
  <c r="J80" i="2"/>
  <c r="I61" i="2"/>
  <c r="J61" i="2" s="1"/>
  <c r="I60" i="2" l="1"/>
  <c r="J60" i="2" s="1"/>
  <c r="I59" i="2"/>
  <c r="J57" i="2"/>
  <c r="G57" i="2"/>
  <c r="G56" i="2"/>
  <c r="J54" i="2"/>
  <c r="G54" i="2"/>
  <c r="J53" i="2"/>
  <c r="G53" i="2"/>
  <c r="J52" i="2"/>
  <c r="G52" i="2"/>
  <c r="J51" i="2"/>
  <c r="G51" i="2"/>
  <c r="I50" i="2"/>
  <c r="H50" i="2"/>
  <c r="I49" i="2"/>
  <c r="I46" i="2" s="1"/>
  <c r="G49" i="2"/>
  <c r="G48" i="2"/>
  <c r="J47" i="2"/>
  <c r="G47" i="2"/>
  <c r="H46" i="2"/>
  <c r="G45" i="2"/>
  <c r="G44" i="2"/>
  <c r="J43" i="2"/>
  <c r="G43" i="2"/>
  <c r="G42" i="2"/>
  <c r="I41" i="2"/>
  <c r="H41" i="2"/>
  <c r="J40" i="2"/>
  <c r="G40" i="2"/>
  <c r="J39" i="2"/>
  <c r="G39" i="2"/>
  <c r="J38" i="2"/>
  <c r="G38" i="2"/>
  <c r="I37" i="2"/>
  <c r="H37" i="2"/>
  <c r="J36" i="2"/>
  <c r="G36" i="2"/>
  <c r="J35" i="2"/>
  <c r="G35" i="2"/>
  <c r="G34" i="2"/>
  <c r="J33" i="2"/>
  <c r="G33" i="2"/>
  <c r="J32" i="2"/>
  <c r="G32" i="2"/>
  <c r="J31" i="2"/>
  <c r="G31" i="2"/>
  <c r="G30" i="2"/>
  <c r="G29" i="2"/>
  <c r="H28" i="2"/>
  <c r="J28" i="2" s="1"/>
  <c r="J27" i="2"/>
  <c r="G27" i="2"/>
  <c r="J26" i="2"/>
  <c r="G26" i="2"/>
  <c r="G25" i="2"/>
  <c r="I24" i="2"/>
  <c r="J24" i="2" s="1"/>
  <c r="H24" i="2"/>
  <c r="J23" i="2"/>
  <c r="G23" i="2"/>
  <c r="J22" i="2"/>
  <c r="G22" i="2"/>
  <c r="J21" i="2"/>
  <c r="G21" i="2"/>
  <c r="I20" i="2"/>
  <c r="H20" i="2"/>
  <c r="G19" i="2"/>
  <c r="J18" i="2"/>
  <c r="G18" i="2"/>
  <c r="J17" i="2"/>
  <c r="G17" i="2"/>
  <c r="I16" i="2"/>
  <c r="H16" i="2"/>
  <c r="J15" i="2"/>
  <c r="G15" i="2"/>
  <c r="G14" i="2"/>
  <c r="J13" i="2"/>
  <c r="G13" i="2"/>
  <c r="I12" i="2"/>
  <c r="H12" i="2"/>
  <c r="J41" i="2" l="1"/>
  <c r="J16" i="2"/>
  <c r="J12" i="2"/>
  <c r="J20" i="2"/>
  <c r="J50" i="2"/>
  <c r="H11" i="2"/>
  <c r="H10" i="2" s="1"/>
  <c r="H9" i="2" s="1"/>
  <c r="H8" i="2" s="1"/>
  <c r="J37" i="2"/>
  <c r="I58" i="2"/>
  <c r="J46" i="2"/>
  <c r="J58" i="2" l="1"/>
  <c r="I55" i="2"/>
  <c r="I50" i="1"/>
  <c r="I280" i="1"/>
  <c r="J280" i="1" s="1"/>
  <c r="H280" i="1"/>
  <c r="J293" i="1"/>
  <c r="G293" i="1"/>
  <c r="J292" i="1"/>
  <c r="G292" i="1"/>
  <c r="J291" i="1"/>
  <c r="G291" i="1"/>
  <c r="J290" i="1"/>
  <c r="G290" i="1"/>
  <c r="J289" i="1"/>
  <c r="G289" i="1"/>
  <c r="J288" i="1"/>
  <c r="G288" i="1"/>
  <c r="J287" i="1"/>
  <c r="G287" i="1"/>
  <c r="J286" i="1"/>
  <c r="G286" i="1"/>
  <c r="J285" i="1"/>
  <c r="G285" i="1"/>
  <c r="J284" i="1"/>
  <c r="G284" i="1"/>
  <c r="J283" i="1"/>
  <c r="J282" i="1"/>
  <c r="G281" i="1"/>
  <c r="J55" i="2" l="1"/>
  <c r="I11" i="2"/>
  <c r="J11" i="2" l="1"/>
  <c r="I10" i="2"/>
  <c r="I9" i="2" s="1"/>
  <c r="I267" i="1"/>
  <c r="J279" i="1"/>
  <c r="G279" i="1"/>
  <c r="J278" i="1"/>
  <c r="G278" i="1"/>
  <c r="J277" i="1"/>
  <c r="G277" i="1"/>
  <c r="J276" i="1"/>
  <c r="G276" i="1"/>
  <c r="J275" i="1"/>
  <c r="G275" i="1"/>
  <c r="G274" i="1"/>
  <c r="G273" i="1"/>
  <c r="J272" i="1"/>
  <c r="G272" i="1"/>
  <c r="J271" i="1"/>
  <c r="G271" i="1"/>
  <c r="J270" i="1"/>
  <c r="G270" i="1"/>
  <c r="J269" i="1"/>
  <c r="G269" i="1"/>
  <c r="J268" i="1"/>
  <c r="G268" i="1"/>
  <c r="I8" i="2" l="1"/>
  <c r="J8" i="2" s="1"/>
  <c r="J10" i="2"/>
  <c r="J267" i="1"/>
  <c r="J9" i="2" l="1"/>
  <c r="J266" i="1"/>
  <c r="G266" i="1"/>
  <c r="J265" i="1"/>
  <c r="G265" i="1"/>
  <c r="J262" i="1"/>
  <c r="G262" i="1"/>
  <c r="I261" i="1"/>
  <c r="H261" i="1"/>
  <c r="J261" i="1" l="1"/>
  <c r="I256" i="1" l="1"/>
  <c r="I255" i="1" s="1"/>
  <c r="H256" i="1"/>
  <c r="J260" i="1"/>
  <c r="J259" i="1"/>
  <c r="J258" i="1"/>
  <c r="J257" i="1"/>
  <c r="G257" i="1"/>
  <c r="H255" i="1" l="1"/>
  <c r="J255" i="1"/>
  <c r="J256" i="1"/>
  <c r="G47" i="1" l="1"/>
  <c r="J58" i="1"/>
  <c r="G58" i="1"/>
  <c r="J57" i="1"/>
  <c r="G57" i="1"/>
  <c r="J56" i="1"/>
  <c r="G56" i="1"/>
  <c r="J55" i="1"/>
  <c r="G55" i="1"/>
  <c r="I54" i="1"/>
  <c r="H54" i="1"/>
  <c r="J53" i="1"/>
  <c r="G53" i="1"/>
  <c r="J52" i="1"/>
  <c r="G52" i="1"/>
  <c r="J51" i="1"/>
  <c r="H50" i="1"/>
  <c r="J48" i="1"/>
  <c r="G48" i="1"/>
  <c r="J47" i="1"/>
  <c r="J46" i="1"/>
  <c r="G46" i="1"/>
  <c r="J45" i="1"/>
  <c r="G45" i="1"/>
  <c r="I44" i="1"/>
  <c r="H44" i="1"/>
  <c r="J50" i="1" l="1"/>
  <c r="H43" i="1"/>
  <c r="I43" i="1"/>
  <c r="J54" i="1"/>
  <c r="J44" i="1"/>
  <c r="J43" i="1" l="1"/>
  <c r="I222" i="1"/>
  <c r="H222" i="1"/>
  <c r="J254" i="1"/>
  <c r="G254" i="1"/>
  <c r="I250" i="1"/>
  <c r="H250" i="1"/>
  <c r="H243" i="1"/>
  <c r="I243" i="1"/>
  <c r="I237" i="1"/>
  <c r="H237" i="1"/>
  <c r="I233" i="1"/>
  <c r="H233" i="1"/>
  <c r="I196" i="1"/>
  <c r="H196" i="1"/>
  <c r="I189" i="1"/>
  <c r="H189" i="1"/>
  <c r="I185" i="1"/>
  <c r="H185" i="1"/>
  <c r="I181" i="1"/>
  <c r="H181" i="1"/>
  <c r="I177" i="1"/>
  <c r="H177" i="1"/>
  <c r="I174" i="1"/>
  <c r="H174" i="1"/>
  <c r="I171" i="1"/>
  <c r="H171" i="1"/>
  <c r="I166" i="1"/>
  <c r="H166" i="1"/>
  <c r="J127" i="1"/>
  <c r="J126" i="1"/>
  <c r="J125" i="1"/>
  <c r="J120" i="1"/>
  <c r="J116" i="1"/>
  <c r="J117" i="1"/>
  <c r="H108" i="1"/>
  <c r="I230" i="1" l="1"/>
  <c r="H230" i="1"/>
  <c r="I226" i="1"/>
  <c r="H226" i="1"/>
  <c r="J253" i="1"/>
  <c r="J252" i="1"/>
  <c r="J251" i="1"/>
  <c r="J250" i="1"/>
  <c r="J249" i="1"/>
  <c r="J247" i="1"/>
  <c r="J246" i="1"/>
  <c r="J245" i="1"/>
  <c r="J243" i="1"/>
  <c r="J242" i="1"/>
  <c r="J240" i="1"/>
  <c r="J239" i="1"/>
  <c r="J238" i="1"/>
  <c r="J237" i="1"/>
  <c r="J236" i="1"/>
  <c r="J234" i="1"/>
  <c r="J233" i="1"/>
  <c r="J232" i="1"/>
  <c r="J231" i="1"/>
  <c r="J229" i="1"/>
  <c r="J228" i="1"/>
  <c r="J227" i="1"/>
  <c r="J225" i="1"/>
  <c r="J224" i="1"/>
  <c r="J223" i="1"/>
  <c r="J222" i="1"/>
  <c r="J221" i="1"/>
  <c r="J220" i="1"/>
  <c r="J219" i="1"/>
  <c r="J218" i="1"/>
  <c r="J217" i="1"/>
  <c r="J216" i="1"/>
  <c r="J215" i="1"/>
  <c r="J213" i="1"/>
  <c r="J212" i="1"/>
  <c r="J211" i="1"/>
  <c r="J210" i="1"/>
  <c r="J209" i="1"/>
  <c r="J208" i="1"/>
  <c r="J207" i="1"/>
  <c r="J206" i="1"/>
  <c r="J205" i="1"/>
  <c r="J204" i="1"/>
  <c r="J202" i="1"/>
  <c r="J200" i="1"/>
  <c r="J199" i="1"/>
  <c r="J197" i="1"/>
  <c r="J196" i="1"/>
  <c r="J195" i="1"/>
  <c r="J194" i="1"/>
  <c r="J193" i="1"/>
  <c r="J190" i="1"/>
  <c r="J189" i="1"/>
  <c r="J186" i="1"/>
  <c r="J185" i="1"/>
  <c r="J182" i="1"/>
  <c r="J181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1" i="1"/>
  <c r="J160" i="1"/>
  <c r="J159" i="1"/>
  <c r="J158" i="1"/>
  <c r="J154" i="1"/>
  <c r="J152" i="1"/>
  <c r="J151" i="1"/>
  <c r="J150" i="1"/>
  <c r="J148" i="1"/>
  <c r="J147" i="1"/>
  <c r="J146" i="1"/>
  <c r="J144" i="1"/>
  <c r="J143" i="1"/>
  <c r="J142" i="1"/>
  <c r="I157" i="1"/>
  <c r="H157" i="1"/>
  <c r="I153" i="1"/>
  <c r="H153" i="1"/>
  <c r="I149" i="1"/>
  <c r="H149" i="1"/>
  <c r="I145" i="1"/>
  <c r="H145" i="1"/>
  <c r="I141" i="1"/>
  <c r="H141" i="1"/>
  <c r="J133" i="1"/>
  <c r="I132" i="1"/>
  <c r="H132" i="1"/>
  <c r="I128" i="1"/>
  <c r="H128" i="1"/>
  <c r="I123" i="1"/>
  <c r="H123" i="1"/>
  <c r="I118" i="1"/>
  <c r="H118" i="1"/>
  <c r="I114" i="1"/>
  <c r="H114" i="1"/>
  <c r="I108" i="1"/>
  <c r="J107" i="1"/>
  <c r="J106" i="1"/>
  <c r="J105" i="1"/>
  <c r="J104" i="1"/>
  <c r="J103" i="1"/>
  <c r="I102" i="1"/>
  <c r="H102" i="1"/>
  <c r="I89" i="1"/>
  <c r="H89" i="1"/>
  <c r="J132" i="1" l="1"/>
  <c r="J230" i="1"/>
  <c r="J226" i="1"/>
  <c r="H86" i="1"/>
  <c r="H85" i="1" s="1"/>
  <c r="I86" i="1"/>
  <c r="J102" i="1"/>
  <c r="J123" i="1"/>
  <c r="G253" i="1"/>
  <c r="G251" i="1"/>
  <c r="G249" i="1"/>
  <c r="G247" i="1"/>
  <c r="G246" i="1"/>
  <c r="G245" i="1"/>
  <c r="G244" i="1"/>
  <c r="G242" i="1"/>
  <c r="G241" i="1"/>
  <c r="G240" i="1"/>
  <c r="G239" i="1"/>
  <c r="G238" i="1"/>
  <c r="G236" i="1"/>
  <c r="G235" i="1"/>
  <c r="G234" i="1"/>
  <c r="G229" i="1"/>
  <c r="G228" i="1"/>
  <c r="G227" i="1"/>
  <c r="G225" i="1"/>
  <c r="G224" i="1"/>
  <c r="G223" i="1"/>
  <c r="G221" i="1"/>
  <c r="G220" i="1"/>
  <c r="G218" i="1"/>
  <c r="G217" i="1"/>
  <c r="G215" i="1"/>
  <c r="G213" i="1"/>
  <c r="G211" i="1"/>
  <c r="G210" i="1"/>
  <c r="G208" i="1"/>
  <c r="G207" i="1"/>
  <c r="G206" i="1"/>
  <c r="G204" i="1"/>
  <c r="G201" i="1"/>
  <c r="G200" i="1"/>
  <c r="G198" i="1"/>
  <c r="G197" i="1"/>
  <c r="G195" i="1"/>
  <c r="G194" i="1"/>
  <c r="G193" i="1"/>
  <c r="G192" i="1"/>
  <c r="G191" i="1"/>
  <c r="G190" i="1"/>
  <c r="G188" i="1"/>
  <c r="G187" i="1"/>
  <c r="G186" i="1"/>
  <c r="G184" i="1"/>
  <c r="G183" i="1"/>
  <c r="G182" i="1"/>
  <c r="G180" i="1"/>
  <c r="G179" i="1"/>
  <c r="G178" i="1"/>
  <c r="G176" i="1"/>
  <c r="G175" i="1"/>
  <c r="G173" i="1"/>
  <c r="G172" i="1"/>
  <c r="G170" i="1"/>
  <c r="G169" i="1"/>
  <c r="G168" i="1"/>
  <c r="G167" i="1"/>
  <c r="G165" i="1"/>
  <c r="G164" i="1"/>
  <c r="G163" i="1"/>
  <c r="G162" i="1"/>
  <c r="G161" i="1"/>
  <c r="G160" i="1"/>
  <c r="G159" i="1"/>
  <c r="G158" i="1"/>
  <c r="G156" i="1"/>
  <c r="G155" i="1"/>
  <c r="G154" i="1"/>
  <c r="G152" i="1"/>
  <c r="G151" i="1"/>
  <c r="G150" i="1"/>
  <c r="G148" i="1"/>
  <c r="G147" i="1"/>
  <c r="G146" i="1"/>
  <c r="G144" i="1"/>
  <c r="G143" i="1"/>
  <c r="G142" i="1"/>
  <c r="G140" i="1"/>
  <c r="G139" i="1"/>
  <c r="G134" i="1"/>
  <c r="G133" i="1"/>
  <c r="G131" i="1"/>
  <c r="G127" i="1"/>
  <c r="G126" i="1"/>
  <c r="G125" i="1"/>
  <c r="G124" i="1"/>
  <c r="G122" i="1"/>
  <c r="G121" i="1"/>
  <c r="G120" i="1"/>
  <c r="G119" i="1"/>
  <c r="G117" i="1"/>
  <c r="G116" i="1"/>
  <c r="G115" i="1"/>
  <c r="G113" i="1"/>
  <c r="G112" i="1"/>
  <c r="G111" i="1"/>
  <c r="G110" i="1"/>
  <c r="G109" i="1"/>
  <c r="G107" i="1"/>
  <c r="G106" i="1"/>
  <c r="G104" i="1"/>
  <c r="G103" i="1"/>
  <c r="G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I85" i="1" l="1"/>
  <c r="J85" i="1" s="1"/>
  <c r="J86" i="1"/>
  <c r="J84" i="1"/>
  <c r="G84" i="1"/>
  <c r="J83" i="1"/>
  <c r="G83" i="1"/>
  <c r="J82" i="1"/>
  <c r="J81" i="1"/>
  <c r="G81" i="1"/>
  <c r="J80" i="1"/>
  <c r="E80" i="1"/>
  <c r="G80" i="1" s="1"/>
  <c r="J79" i="1"/>
  <c r="G79" i="1"/>
  <c r="I78" i="1"/>
  <c r="I60" i="1" s="1"/>
  <c r="H78" i="1"/>
  <c r="H60" i="1" s="1"/>
  <c r="H59" i="1" s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G66" i="1"/>
  <c r="J65" i="1"/>
  <c r="G65" i="1"/>
  <c r="J64" i="1"/>
  <c r="G64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J63" i="1"/>
  <c r="G63" i="1"/>
  <c r="G62" i="1"/>
  <c r="A62" i="1"/>
  <c r="J61" i="1"/>
  <c r="G61" i="1"/>
  <c r="I59" i="1" l="1"/>
  <c r="J60" i="1"/>
  <c r="J78" i="1"/>
  <c r="J42" i="1"/>
  <c r="J41" i="1"/>
  <c r="J40" i="1"/>
  <c r="G40" i="1"/>
  <c r="J39" i="1"/>
  <c r="G39" i="1"/>
  <c r="I38" i="1"/>
  <c r="H38" i="1"/>
  <c r="G38" i="1"/>
  <c r="J37" i="1"/>
  <c r="G37" i="1"/>
  <c r="J36" i="1"/>
  <c r="G36" i="1"/>
  <c r="J35" i="1"/>
  <c r="G35" i="1"/>
  <c r="I34" i="1"/>
  <c r="H34" i="1"/>
  <c r="G34" i="1"/>
  <c r="J33" i="1"/>
  <c r="H32" i="1"/>
  <c r="J32" i="1" s="1"/>
  <c r="G32" i="1"/>
  <c r="J31" i="1"/>
  <c r="G31" i="1"/>
  <c r="J30" i="1"/>
  <c r="G30" i="1"/>
  <c r="J29" i="1"/>
  <c r="G29" i="1"/>
  <c r="I28" i="1"/>
  <c r="H28" i="1"/>
  <c r="G28" i="1"/>
  <c r="J27" i="1"/>
  <c r="G27" i="1"/>
  <c r="J26" i="1"/>
  <c r="G26" i="1"/>
  <c r="I25" i="1"/>
  <c r="H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H18" i="1"/>
  <c r="G18" i="1"/>
  <c r="H17" i="1" l="1"/>
  <c r="J59" i="1"/>
  <c r="J28" i="1"/>
  <c r="J34" i="1"/>
  <c r="J25" i="1"/>
  <c r="J18" i="1"/>
  <c r="I17" i="1"/>
  <c r="J38" i="1"/>
  <c r="I13" i="1"/>
  <c r="J13" i="1" s="1"/>
  <c r="G16" i="1"/>
  <c r="G14" i="1"/>
  <c r="G12" i="1"/>
  <c r="J16" i="1"/>
  <c r="J15" i="1"/>
  <c r="J14" i="1"/>
  <c r="I12" i="1"/>
  <c r="J12" i="1" s="1"/>
  <c r="H11" i="1"/>
  <c r="H10" i="1" s="1"/>
  <c r="H9" i="1" l="1"/>
  <c r="H8" i="1" s="1"/>
  <c r="J17" i="1"/>
  <c r="I11" i="1"/>
  <c r="J11" i="1" s="1"/>
  <c r="I10" i="1" l="1"/>
  <c r="I9" i="1" s="1"/>
  <c r="I8" i="1" s="1"/>
  <c r="J8" i="1" s="1"/>
  <c r="J10" i="1" l="1"/>
  <c r="J9" i="1"/>
</calcChain>
</file>

<file path=xl/comments1.xml><?xml version="1.0" encoding="utf-8"?>
<comments xmlns="http://schemas.openxmlformats.org/spreadsheetml/2006/main">
  <authors>
    <author>Carlos</author>
  </authors>
  <commentList>
    <comment ref="H19" authorId="0">
      <text>
        <r>
          <rPr>
            <b/>
            <sz val="9"/>
            <color indexed="81"/>
            <rFont val="Tahoma"/>
            <family val="2"/>
          </rPr>
          <t>Carlos:</t>
        </r>
        <r>
          <rPr>
            <sz val="9"/>
            <color indexed="81"/>
            <rFont val="Tahoma"/>
            <family val="2"/>
          </rPr>
          <t xml:space="preserve">
proyectado para un asistente administrativo y una secetaria</t>
        </r>
      </text>
    </comment>
  </commentList>
</comments>
</file>

<file path=xl/comments2.xml><?xml version="1.0" encoding="utf-8"?>
<comments xmlns="http://schemas.openxmlformats.org/spreadsheetml/2006/main">
  <authors>
    <author>pc</author>
    <author>Joel</author>
    <author>WILSON</author>
  </authors>
  <commentList>
    <comment ref="B17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Esta accion se puede pasar su presupuesto a la accion 1.1.1 - Justificar
</t>
        </r>
      </text>
    </comment>
    <comment ref="B17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Reajustar el numero de reuniones</t>
        </r>
      </text>
    </comment>
    <comment ref="B17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Gestionar y evitar gastos </t>
        </r>
      </text>
    </comment>
    <comment ref="B17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Edito, reproducir y distribucion de doc (considerar al ano 2)</t>
        </r>
      </text>
    </comment>
    <comment ref="B18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1 accion a ejectutar en la actividad 1.2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Proponer contratar un consultor para elaborar los documentos de los CGA, reglamento, POA, Plan de trabajo. Etc.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Linea base de los servicios agrarios de la drac`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Las unidades estan en funcion del techo presupuestal</t>
        </r>
      </text>
    </comment>
    <comment ref="H199" authorId="1">
      <text>
        <r>
          <rPr>
            <b/>
            <sz val="9"/>
            <color indexed="81"/>
            <rFont val="Tahoma"/>
            <family val="2"/>
          </rPr>
          <t>Joel:</t>
        </r>
        <r>
          <rPr>
            <sz val="9"/>
            <color indexed="81"/>
            <rFont val="Tahoma"/>
            <family val="2"/>
          </rPr>
          <t xml:space="preserve">
presupuesto pasar para justificara el incremento del gasto en las filmadoras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1 mesa semicircular madera
10 sillas
1 pizarra acrilica
1 ecran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Justificacion de compras de sillas y mesas para auditorio.
4 paneles
2 megafonos
1 ecran
2 modulos cefe
3 millares de cartulina
2 millares papel sabana
20 cjas plumones de 4 colores 
10 millares papel bond A4
300 cientos chinches
50 sillas AA
30 mesas AA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Cotizar casacas y chalecos mejor calidad.
120 casacas
120 botas blancas
120 ponchos de agua
120 polos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Analizar estrategia de desarrollo de consultoria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Disenar estretegia de intervencion 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Pasantias para todo el equipo tecnico con fusion de presupuestos y reduccion del numero de pasantias.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Reducir numero de pasantias y hacerlo por corredor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Considerar a un pasante del equipo de competitividad, planificacion y/o estadistica 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Revisar la metodologia de intervencion(TDR)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Equipo del corredor crisnejas, jequetepeque y celendin</t>
        </r>
      </text>
    </comment>
    <comment ref="B234" authorId="1">
      <text>
        <r>
          <rPr>
            <b/>
            <sz val="9"/>
            <color indexed="81"/>
            <rFont val="Tahoma"/>
            <family val="2"/>
          </rPr>
          <t>Joel:</t>
        </r>
        <r>
          <rPr>
            <sz val="9"/>
            <color indexed="81"/>
            <rFont val="Tahoma"/>
            <family val="2"/>
          </rPr>
          <t xml:space="preserve">
se pretende hacer un diplomado</t>
        </r>
      </text>
    </comment>
    <comment ref="B248" authorId="1">
      <text>
        <r>
          <rPr>
            <b/>
            <sz val="9"/>
            <color indexed="81"/>
            <rFont val="Tahoma"/>
            <family val="2"/>
          </rPr>
          <t>Joel:</t>
        </r>
        <r>
          <rPr>
            <sz val="9"/>
            <color indexed="81"/>
            <rFont val="Tahoma"/>
            <family val="2"/>
          </rPr>
          <t xml:space="preserve">
SE PROPONE REALIZAR UN DIPLOMADO POR 7 MESES, EMPEZAR EN AGOSTO A DICIEMBRE COM PRESUPUESTO DEL 1 Y 2 AÑO Y LUEGO DE ENERO A MARZO CON PRESUPUESTO DEL AÑO 3. Y LA COLACIÓN EN EL MES DEMARZO 2016.
</t>
        </r>
      </text>
    </comment>
    <comment ref="B2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Se ha trasnferido 45,500 nuevos soles. A las AA.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TDR integrando los servicios de diseno y servicios de impresion de guias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Presupuesto para combustible 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No considerar por ahora</t>
        </r>
      </text>
    </comment>
    <comment ref="B432" authorId="2">
      <text>
        <r>
          <rPr>
            <b/>
            <sz val="9"/>
            <color indexed="81"/>
            <rFont val="Tahoma"/>
            <family val="2"/>
          </rPr>
          <t>Actividad que se ejecutara en el segundo año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9"/>
            <color indexed="8"/>
            <rFont val="Tahoma"/>
            <family val="2"/>
            <charset val="1"/>
          </rPr>
          <t xml:space="preserve">Segundo Matta Colunche:
</t>
        </r>
      </text>
    </comment>
  </commentList>
</comments>
</file>

<file path=xl/sharedStrings.xml><?xml version="1.0" encoding="utf-8"?>
<sst xmlns="http://schemas.openxmlformats.org/spreadsheetml/2006/main" count="6046" uniqueCount="2800">
  <si>
    <t>N°</t>
  </si>
  <si>
    <t>NOMBRE DE LA ACTIVIDAD/PROYECTO</t>
  </si>
  <si>
    <t>PROVINCIA</t>
  </si>
  <si>
    <t>UNIDAD DE MEDIDA</t>
  </si>
  <si>
    <t>CANTIDAD ANUAL</t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</si>
  <si>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2.2. Promover el desarrollo turístico, artesanal y exportador del departamento de Cajamarca.</t>
    </r>
  </si>
  <si>
    <r>
      <rPr>
        <b/>
        <sz val="10"/>
        <color theme="1"/>
        <rFont val="Calibri"/>
        <family val="2"/>
        <scheme val="minor"/>
      </rPr>
      <t xml:space="preserve">OBJETIVO ESTRATÉGICO GENERAL       :  </t>
    </r>
    <r>
      <rPr>
        <sz val="10"/>
        <color theme="1"/>
        <rFont val="Calibri"/>
        <family val="2"/>
        <scheme val="minor"/>
      </rPr>
      <t>2. Productores rurales y agentes económicos, impulsados por el Gobierno Regional de Cajamarca, desarrollan competitivamente una estructura productiva diversificada, sostenible, organizados y articulados al mercado en forma sostenible.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</si>
  <si>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2.1. Fomentar la asociatividad con enfoque de mercado y gestión empresarial, promoviendo las cadenas productivas, la investigación y la innovación tecnológica.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</si>
  <si>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1.5. Mejorar el acceso de la población del departamento de Cajamarca a empleos dignos.</t>
    </r>
  </si>
  <si>
    <r>
      <rPr>
        <b/>
        <sz val="10"/>
        <color theme="1"/>
        <rFont val="Calibri"/>
        <family val="2"/>
        <scheme val="minor"/>
      </rPr>
      <t>OBJETIVO ESTRATÉGICO GENERAL       :</t>
    </r>
    <r>
      <rPr>
        <sz val="10"/>
        <color theme="1"/>
        <rFont val="Calibri"/>
        <family val="2"/>
        <scheme val="minor"/>
      </rPr>
      <t xml:space="preserve">  1. La Población del departamento de Cajamarca, principalmente en condición de pobreza y vulnerable, accede a servicios sociales básicos de calidad e igualdad de oportunidades.</t>
    </r>
  </si>
  <si>
    <r>
      <rPr>
        <b/>
        <sz val="10"/>
        <color theme="1"/>
        <rFont val="Calibri"/>
        <family val="2"/>
        <scheme val="minor"/>
      </rPr>
      <t>OBJETIVO ESTRATÉGICO ESPECÍFICO   :</t>
    </r>
    <r>
      <rPr>
        <sz val="10"/>
        <color theme="1"/>
        <rFont val="Calibri"/>
        <family val="2"/>
        <scheme val="minor"/>
      </rPr>
      <t xml:space="preserve">  1.3. Promover la construcción y mejoramiento de la infraestructura de agua y saneamiento en zonas urbanas y rurales; así como propiciar el acceso a una vivienda digna.</t>
    </r>
  </si>
  <si>
    <r>
      <rPr>
        <b/>
        <sz val="10"/>
        <color theme="1"/>
        <rFont val="Calibri"/>
        <family val="2"/>
        <scheme val="minor"/>
      </rPr>
      <t>OBJETIVO ESTRATÉGICO ESPECÍFICO   :</t>
    </r>
    <r>
      <rPr>
        <sz val="10"/>
        <color theme="1"/>
        <rFont val="Calibri"/>
        <family val="2"/>
        <scheme val="minor"/>
      </rPr>
      <t xml:space="preserve">  1.2. Población del departamento de Cajamarca, principalmente pobre y vulnerable, accede a servicios integrales de salud de calidad, con enfoque preventivo promocional.</t>
    </r>
  </si>
  <si>
    <r>
      <rPr>
        <b/>
        <sz val="10"/>
        <color theme="1"/>
        <rFont val="Calibri"/>
        <family val="2"/>
        <scheme val="minor"/>
      </rPr>
      <t>OBJETIVO ESTRATÉGICO ESPECÍFICO   :</t>
    </r>
    <r>
      <rPr>
        <sz val="10"/>
        <color theme="1"/>
        <rFont val="Calibri"/>
        <family val="2"/>
        <scheme val="minor"/>
      </rPr>
      <t xml:space="preserve">  1.1. Población del departamento de Cajamarca accede a educación de calidad y adquieren competencias para una gestión integral del territorio.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</si>
  <si>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2.5. Promover la construcción y mejoramiento de la infraestructura de riego para optimizar el uso del agua, ampliando la frontera agrícola e incrementando la productividad.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</si>
  <si>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</t>
    </r>
    <r>
      <rPr>
        <sz val="10"/>
        <color theme="1"/>
        <rFont val="Calibri"/>
        <family val="2"/>
        <scheme val="minor"/>
      </rPr>
      <t xml:space="preserve"> 2.3. Contribuir a mejorar la infaestructura vial y de telecomunicaciones, para dinamizar la economía y acceso a los servicios básicos.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</si>
  <si>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2.4. Ampliar y mejorar la infraestructura energética, priorizando la electrificación rural para generar valor agregado en la producción local.</t>
    </r>
  </si>
  <si>
    <r>
      <rPr>
        <b/>
        <sz val="10"/>
        <color theme="1"/>
        <rFont val="Calibri"/>
        <family val="2"/>
        <scheme val="minor"/>
      </rPr>
      <t xml:space="preserve">EJE DE DESARROLLO                                : </t>
    </r>
    <r>
      <rPr>
        <sz val="10"/>
        <color theme="1"/>
        <rFont val="Calibri"/>
        <family val="2"/>
        <scheme val="minor"/>
      </rPr>
      <t xml:space="preserve"> SOCIAL CULTURAL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</si>
  <si>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>EJE DE DESARROLLO                               :</t>
    </r>
    <r>
      <rPr>
        <sz val="10"/>
        <color theme="1"/>
        <rFont val="Calibri"/>
        <family val="2"/>
        <scheme val="minor"/>
      </rPr>
      <t xml:space="preserve">  SOCIAL CULTURAL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</si>
  <si>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>EJE DE DESARROLLO                               :</t>
    </r>
    <r>
      <rPr>
        <sz val="10"/>
        <color theme="1"/>
        <rFont val="Calibri"/>
        <family val="2"/>
        <scheme val="minor"/>
      </rPr>
      <t xml:space="preserve">  SOCIAL CULTURAL  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</si>
  <si>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 xml:space="preserve">EJE DE DESARROLLO                               : </t>
    </r>
    <r>
      <rPr>
        <sz val="10"/>
        <color theme="1"/>
        <rFont val="Calibri"/>
        <family val="2"/>
        <scheme val="minor"/>
      </rPr>
      <t xml:space="preserve"> SOCIAL CULTURAL      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</si>
  <si>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>EJE DE DESARROLLO                               :</t>
    </r>
    <r>
      <rPr>
        <sz val="10"/>
        <color theme="1"/>
        <rFont val="Calibri"/>
        <family val="2"/>
        <scheme val="minor"/>
      </rPr>
      <t xml:space="preserve">  ECONÓMICO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</si>
  <si>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 xml:space="preserve">EJE DE DESARROLLO                               :  </t>
    </r>
    <r>
      <rPr>
        <sz val="10"/>
        <color theme="1"/>
        <rFont val="Calibri"/>
        <family val="2"/>
        <scheme val="minor"/>
      </rPr>
      <t>ECONÓMICO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</si>
  <si>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 xml:space="preserve">EJE DE DESARROLLO                               : </t>
    </r>
    <r>
      <rPr>
        <sz val="10"/>
        <color theme="1"/>
        <rFont val="Calibri"/>
        <family val="2"/>
        <scheme val="minor"/>
      </rPr>
      <t xml:space="preserve"> ECONÓMICO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</si>
  <si>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 xml:space="preserve">OBJETIVO ESTRATÉGICO GENERAL       :  </t>
    </r>
    <r>
      <rPr>
        <sz val="10"/>
        <color theme="1"/>
        <rFont val="Calibri"/>
        <family val="2"/>
        <scheme val="minor"/>
      </rPr>
      <t>3. Gobierno Regional gestiona y promueve en los actores públicos y privados el uso, ocupación y aprovechamiento sostenible de los RR.NN. y Biodiversidad del Territorio bajo el enfoque de cuenca en concordancia con la ZEE.</t>
    </r>
  </si>
  <si>
    <r>
      <rPr>
        <b/>
        <sz val="10"/>
        <color theme="1"/>
        <rFont val="Calibri"/>
        <family val="2"/>
        <scheme val="minor"/>
      </rPr>
      <t xml:space="preserve">EJE DE DESARROLLO                               :  </t>
    </r>
    <r>
      <rPr>
        <sz val="10"/>
        <color theme="1"/>
        <rFont val="Calibri"/>
        <family val="2"/>
        <scheme val="minor"/>
      </rPr>
      <t>AMBIENTAL    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</si>
  <si>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>EJE DE DESARROLLO                               :</t>
    </r>
    <r>
      <rPr>
        <sz val="10"/>
        <color theme="1"/>
        <rFont val="Calibri"/>
        <family val="2"/>
        <scheme val="minor"/>
      </rPr>
      <t xml:space="preserve"> AMBIENTAL      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</si>
  <si>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>OBJETIVO ESTRATÉGICO ESPECÍFICO   :</t>
    </r>
    <r>
      <rPr>
        <sz val="10"/>
        <color theme="1"/>
        <rFont val="Calibri"/>
        <family val="2"/>
        <scheme val="minor"/>
      </rPr>
      <t xml:space="preserve">  4.1. Gobierno Regional de Cajamarca al servicio del ciudadano.</t>
    </r>
  </si>
  <si>
    <r>
      <rPr>
        <b/>
        <sz val="10"/>
        <color theme="1"/>
        <rFont val="Calibri"/>
        <family val="2"/>
        <scheme val="minor"/>
      </rPr>
      <t xml:space="preserve">OBJETIVO ESTRATÉGICO GENERAL       :  </t>
    </r>
    <r>
      <rPr>
        <sz val="10"/>
        <color theme="1"/>
        <rFont val="Calibri"/>
        <family val="2"/>
        <scheme val="minor"/>
      </rPr>
      <t>4. Gobierno Regional de Cajamarca lidera un proceso Democrático de Desarrollo Departamental.</t>
    </r>
  </si>
  <si>
    <r>
      <rPr>
        <b/>
        <sz val="10"/>
        <color theme="1"/>
        <rFont val="Calibri"/>
        <family val="2"/>
        <scheme val="minor"/>
      </rPr>
      <t xml:space="preserve">EJE DE DESARROLLO                               : </t>
    </r>
    <r>
      <rPr>
        <sz val="10"/>
        <color theme="1"/>
        <rFont val="Calibri"/>
        <family val="2"/>
        <scheme val="minor"/>
      </rPr>
      <t xml:space="preserve"> INSTITUCIONAL      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</si>
  <si>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4.2. Gestión Pública concertadora, participativa y transparente con actores del entorno interno y externo</t>
    </r>
  </si>
  <si>
    <r>
      <rPr>
        <b/>
        <sz val="10"/>
        <color theme="1"/>
        <rFont val="Calibri"/>
        <family val="2"/>
        <scheme val="minor"/>
      </rPr>
      <t>EJE DE DESARROLLO                               :</t>
    </r>
    <r>
      <rPr>
        <sz val="10"/>
        <color theme="1"/>
        <rFont val="Calibri"/>
        <family val="2"/>
        <scheme val="minor"/>
      </rPr>
      <t xml:space="preserve"> INSTITUCIONAL                                                                                                 :</t>
    </r>
  </si>
  <si>
    <r>
      <rPr>
        <b/>
        <sz val="10"/>
        <color theme="1"/>
        <rFont val="Calibri"/>
        <family val="2"/>
        <scheme val="minor"/>
      </rPr>
      <t xml:space="preserve">EJE DE DESARROLLO                                : </t>
    </r>
    <r>
      <rPr>
        <sz val="10"/>
        <color theme="1"/>
        <rFont val="Calibri"/>
        <family val="2"/>
        <scheme val="minor"/>
      </rPr>
      <t xml:space="preserve"> INSTITUCIONAL                                                                                                       :</t>
    </r>
  </si>
  <si>
    <t>Multiprovincial</t>
  </si>
  <si>
    <t>Docentes</t>
  </si>
  <si>
    <t>Talleres</t>
  </si>
  <si>
    <t>Ferias</t>
  </si>
  <si>
    <t>Desarrollo de capacidades y asistencia técnica en gestión del riesgo de desastres</t>
  </si>
  <si>
    <t>Cajamarca</t>
  </si>
  <si>
    <t>Persona</t>
  </si>
  <si>
    <t>Implementación de dispositivos de emergencia y acondicionamiento de locales escolares (Bienes y servicios)</t>
  </si>
  <si>
    <t>Gestión del Programa (PELA)- Asesoramiento y apoyo</t>
  </si>
  <si>
    <t>Acción</t>
  </si>
  <si>
    <t>Asistencia técnica para el incremento de cobertura en Educación Inicial</t>
  </si>
  <si>
    <t>Instancia Intermedia</t>
  </si>
  <si>
    <t>Asistencia técnica para el incremento de cobertura en Educación secundaria</t>
  </si>
  <si>
    <t>Saneamiento físico legal de terrenos para servicios de Educación Inicial</t>
  </si>
  <si>
    <t>Terreno</t>
  </si>
  <si>
    <t>Saneamiento físico legal de los terrenos para II.EE nuevas de Educación Secundaria</t>
  </si>
  <si>
    <t>Promoción y difusión para el fortalecimiento de la demanda de servicios de calidad de Educación Inicial</t>
  </si>
  <si>
    <t>Familia</t>
  </si>
  <si>
    <t>Promoción y difusión para el fortalecimiento de la demanda de servicios de calidad en educación secundaria</t>
  </si>
  <si>
    <t>Contratación oportuna de docentes y pago de planillas a personal de Institutos de Educación Superior Pedagógica</t>
  </si>
  <si>
    <t>Provisión de servicios básicos y mantenimiento a la infraestructura</t>
  </si>
  <si>
    <t>Dirección de asesoramiento</t>
  </si>
  <si>
    <t>Pago de pensiones y beneficios a Cesantes y Jubilados</t>
  </si>
  <si>
    <t>Planilla</t>
  </si>
  <si>
    <t>DIRECCIÓN REGIONAL DE EDUCACIÓN</t>
  </si>
  <si>
    <t>Institución Educativa</t>
  </si>
  <si>
    <t>Gestión administrativa</t>
  </si>
  <si>
    <t>Taller</t>
  </si>
  <si>
    <t>Evento</t>
  </si>
  <si>
    <t>Gestión del Programa</t>
  </si>
  <si>
    <t>Cursos</t>
  </si>
  <si>
    <t>Docente</t>
  </si>
  <si>
    <t>Desarrollo del ciclo intermedio de la educación básica alternativa</t>
  </si>
  <si>
    <t>Obligaciones Previsionales</t>
  </si>
  <si>
    <t>Local escolar</t>
  </si>
  <si>
    <t>Gestión</t>
  </si>
  <si>
    <t>Chota</t>
  </si>
  <si>
    <t>Cutervo</t>
  </si>
  <si>
    <t>Jaén</t>
  </si>
  <si>
    <t>Almacén</t>
  </si>
  <si>
    <t>GERENCIA REGIONAL DE DESARROLLO SOCIAL</t>
  </si>
  <si>
    <t xml:space="preserve">Multiprovincial </t>
  </si>
  <si>
    <t>POA</t>
  </si>
  <si>
    <t>Informe</t>
  </si>
  <si>
    <t>Reunión Técnica con Equipos de Trabajo de las Direcciones Regionales sectoriales para articular objetivos.</t>
  </si>
  <si>
    <t>Reunión</t>
  </si>
  <si>
    <t>Formulación de proyectos para la cooperación internacional en temas de adolescente, Violencia de la Mujer basado en género y población.</t>
  </si>
  <si>
    <t>Proyectos formulados</t>
  </si>
  <si>
    <t>Reuniones para coordinar y concertar con instituciones privadas y organizaciones sociales  para ejecutar proyectos articulados</t>
  </si>
  <si>
    <t>Reunión/Informe</t>
  </si>
  <si>
    <t>Reuniones  Técnicas de evaluación a DIRESA y Unidades Ejecutoras.</t>
  </si>
  <si>
    <t xml:space="preserve">Monitoreo al Convenio SIS Capitado </t>
  </si>
  <si>
    <t>Visitas de supervisión permanente a Dirección Regional de Vivienda para fortalecimiento de capacidades de autogestión</t>
  </si>
  <si>
    <t>Plan</t>
  </si>
  <si>
    <t>Participar en la evaluación semestral de ejecutoras de salud, vivienda y aldea infantil</t>
  </si>
  <si>
    <t>Revisar y Proponer modificaciones a Convenios específicos en proceso de implementación, en caso amerite</t>
  </si>
  <si>
    <t>Propuestas</t>
  </si>
  <si>
    <t>Ordenanza</t>
  </si>
  <si>
    <t>Contribuciones a ESSALUD - CAS</t>
  </si>
  <si>
    <t>Comunidad</t>
  </si>
  <si>
    <t>Atención</t>
  </si>
  <si>
    <t>Proyecto</t>
  </si>
  <si>
    <t>Persona Capacitada</t>
  </si>
  <si>
    <t>Informe Técnico</t>
  </si>
  <si>
    <t>Simulacro</t>
  </si>
  <si>
    <t>Informes</t>
  </si>
  <si>
    <t>Inspección</t>
  </si>
  <si>
    <t>Unidad</t>
  </si>
  <si>
    <t>DIRECCIÓN DE VIVIENDA Y URBANISMO</t>
  </si>
  <si>
    <t>Promover la ejecución de Programas de Vivienda Urbanos y Rurales</t>
  </si>
  <si>
    <t>Difusión de la normativa de edificación.</t>
  </si>
  <si>
    <t>Asesorar a Gobiernos  Locales para su participación en la convocatoria del Programa de Mejoramiento Integral de Barrios y Pueblos.</t>
  </si>
  <si>
    <t>Promover la formulación y ejecución de Planes de Desarrollo Urbano.</t>
  </si>
  <si>
    <t>DIRECCIÓN DE CONSTRUCCIÓN Y SANEAMIENTO</t>
  </si>
  <si>
    <t>Eventos</t>
  </si>
  <si>
    <t>Fortalecimiento del CER y del CILs (CER: Comité Ejecutivo Regional; CILs.: Comités impulsores Locales) de agua y saneamiento</t>
  </si>
  <si>
    <t>ACTIVIDADES PERMANENTES</t>
  </si>
  <si>
    <t>Asesorar a grupos familiares para la participación del Bono Familiar Habitacional.</t>
  </si>
  <si>
    <t>Personal</t>
  </si>
  <si>
    <t>Acciones</t>
  </si>
  <si>
    <t>Documento</t>
  </si>
  <si>
    <t>Registro</t>
  </si>
  <si>
    <t>Campaña</t>
  </si>
  <si>
    <t>DIRECCIÓN REGIONAL DE TRABAJO Y PROMOCIÓN DEL EMPLEO</t>
  </si>
  <si>
    <t>Ficha</t>
  </si>
  <si>
    <t>Colocados</t>
  </si>
  <si>
    <t>Programa de Orientación Vocacional SOVIO</t>
  </si>
  <si>
    <t>Aplicación de Test de Orientación Vocacional</t>
  </si>
  <si>
    <t>Test</t>
  </si>
  <si>
    <t>Charlas de Sensibilización y Orientación</t>
  </si>
  <si>
    <t>Charlas</t>
  </si>
  <si>
    <t>Alumnos Evaluados en los Test de Orientación Vocacional</t>
  </si>
  <si>
    <t>Alumnos</t>
  </si>
  <si>
    <t xml:space="preserve">Personas con Discapacidad </t>
  </si>
  <si>
    <t>Charlas CDRPETI</t>
  </si>
  <si>
    <t>Campañas CDRPETI - Erradicación del Trabajo Infantil</t>
  </si>
  <si>
    <t>Campaña PCD</t>
  </si>
  <si>
    <t>Encuesta Nacional de Variación Mensual del Empleo</t>
  </si>
  <si>
    <t>Encuesta</t>
  </si>
  <si>
    <t>Estadísticas Trimestrales de Intermediación Laboral</t>
  </si>
  <si>
    <t>Empresa</t>
  </si>
  <si>
    <t>Registros de empresas de Intermediación Laboral</t>
  </si>
  <si>
    <t xml:space="preserve">Registros de Convenios de Modalidades Formativas 
Laborales </t>
  </si>
  <si>
    <t>Convenio</t>
  </si>
  <si>
    <t>Observatorio Socio Económico Laboral - OSEL</t>
  </si>
  <si>
    <t xml:space="preserve">Elaboración de Notas de Prensa Técnicas sobre la 
Variación Mensual del Empleo </t>
  </si>
  <si>
    <t>Notas de Prensa</t>
  </si>
  <si>
    <t>Difusión, Notas de Prensa y Comunicados</t>
  </si>
  <si>
    <t>Boletín Socio Económico Laboral</t>
  </si>
  <si>
    <t>Boletín</t>
  </si>
  <si>
    <t>Trípticos de Indicadores Laborales</t>
  </si>
  <si>
    <t>Tríptico</t>
  </si>
  <si>
    <t>Afiche</t>
  </si>
  <si>
    <t xml:space="preserve">Dirección de Prevención y Solución Conflictos </t>
  </si>
  <si>
    <t>Inspecciones Programadas (Empresas Privadas)</t>
  </si>
  <si>
    <t>Conciliaciones (Empleador - Trabajador)</t>
  </si>
  <si>
    <t>Conciliación</t>
  </si>
  <si>
    <t>Servicio de Consultas (Trabajador y Empleador)</t>
  </si>
  <si>
    <t>Registro de Contratos de Trabajo Sujetos a Modalidad</t>
  </si>
  <si>
    <t>Contratos</t>
  </si>
  <si>
    <t>Registro de Contratos de Personal Extranjero</t>
  </si>
  <si>
    <t>Registro de Empresas que realizan actividades de Alto Riesgo</t>
  </si>
  <si>
    <t>Aprobación de Reglamento Interno de Trabajo</t>
  </si>
  <si>
    <t>Notificaciones (Decretos, Autos y Resoluciones)</t>
  </si>
  <si>
    <t>Notificación</t>
  </si>
  <si>
    <t>Difusión (Publicaciones, trípticos y otros)</t>
  </si>
  <si>
    <t>Publicación</t>
  </si>
  <si>
    <t>Capacitaciones (Seminarios, charlas y otros)</t>
  </si>
  <si>
    <t>Resolución</t>
  </si>
  <si>
    <t xml:space="preserve">Plan </t>
  </si>
  <si>
    <t xml:space="preserve">Eventos </t>
  </si>
  <si>
    <t>2.1.1</t>
  </si>
  <si>
    <t>2.1.2</t>
  </si>
  <si>
    <t>Diagnóstico</t>
  </si>
  <si>
    <t>Reuniones</t>
  </si>
  <si>
    <t>Proyectos</t>
  </si>
  <si>
    <t>Visitas</t>
  </si>
  <si>
    <t>Inspecciones</t>
  </si>
  <si>
    <t>1.1.1</t>
  </si>
  <si>
    <t>1.1.2</t>
  </si>
  <si>
    <t>Fortalecimiento de capacidades técnicas y de gestión del recurso humano institucional.</t>
  </si>
  <si>
    <t>Monitoreo y evaluación de la gestión institucional.</t>
  </si>
  <si>
    <t>Elaboración de perfil y expediente técnico.</t>
  </si>
  <si>
    <t>Sistema</t>
  </si>
  <si>
    <t xml:space="preserve">Formulación de instrumento de gestión. </t>
  </si>
  <si>
    <t>Fiscalización</t>
  </si>
  <si>
    <t>Evaluación</t>
  </si>
  <si>
    <t>Capacitación sobre normatividad legal del sector hidrocarburos.</t>
  </si>
  <si>
    <t>Capacitación</t>
  </si>
  <si>
    <t>Expediente</t>
  </si>
  <si>
    <t>ACTIVIDADES DIRECCIÓN REGIONAL DE COMERCIO EXTERIOR Y TURISMO</t>
  </si>
  <si>
    <t>Calificar a los prestadores de los servicios turísticos de la región de acuerdo con las normas legales</t>
  </si>
  <si>
    <t>Expedientes</t>
  </si>
  <si>
    <t>Supervisar la correcta aplicación de las normas legales</t>
  </si>
  <si>
    <t>Cajabamba</t>
  </si>
  <si>
    <t>Contumazá</t>
  </si>
  <si>
    <t>San Pablo</t>
  </si>
  <si>
    <t>ALTA DIRECCIÓN</t>
  </si>
  <si>
    <t>PRESIDENCIA</t>
  </si>
  <si>
    <t>Actividades de la Presidencia</t>
  </si>
  <si>
    <t>VICE PRESIDENCIA</t>
  </si>
  <si>
    <t>Actividades de la Vice Presidencia</t>
  </si>
  <si>
    <t>Supervisar y evaluar la ejecución del Plan de Desarrollo Regional Concertado</t>
  </si>
  <si>
    <t>Monitorear y supervisar la formulación y evaluación del Plan Anual</t>
  </si>
  <si>
    <t>Monitorear, supervisar y evaluar la formulación del Presupuesto Participativo</t>
  </si>
  <si>
    <t>Supervisar, monitorear y evaluar la ejecución de programas y proyectos de impacto regional</t>
  </si>
  <si>
    <t>Monitorear, supervisar y evaluar la ejecución de las Políticas y Estrategias del Gobierno Regional</t>
  </si>
  <si>
    <t>Dirigir la Junta de Gerentes</t>
  </si>
  <si>
    <t>Acuerdos Ejecutados</t>
  </si>
  <si>
    <t>Supervisar y evaluar la aplicación de normas jurídicas, técnicas y administrativas</t>
  </si>
  <si>
    <t>Controlar la ejecución de convenios o contratos</t>
  </si>
  <si>
    <t>Efectuar coordinaciones con los organismos y dependencias del Gobierno Nacional, para efectuar gestiones a favor del Gobierno Regional</t>
  </si>
  <si>
    <t>Actividades de asesores</t>
  </si>
  <si>
    <t>Actas</t>
  </si>
  <si>
    <t xml:space="preserve">Cajamarca </t>
  </si>
  <si>
    <t>Acciones de la responsable de la Oficina de Enlace en Lima</t>
  </si>
  <si>
    <t>N/C</t>
  </si>
  <si>
    <t>Organizar y dirigir el servicio administrativo del Consejo Regional del Gobierno Regional Cajamarca</t>
  </si>
  <si>
    <t>Apoyo en la gestión y desarrollo de la sesiones de Consejo Regional y Audiencias Públicas.</t>
  </si>
  <si>
    <t>Convocatorias</t>
  </si>
  <si>
    <t>Redactar las actas  de Consejo Regional en sesiones Extraordinarias y Ordinarias.</t>
  </si>
  <si>
    <t xml:space="preserve">Actas </t>
  </si>
  <si>
    <t xml:space="preserve">Elaboración de Ordenanzas Regionales </t>
  </si>
  <si>
    <t>Ordenanzas</t>
  </si>
  <si>
    <t xml:space="preserve">Elaboración de Acuerdos Regionales </t>
  </si>
  <si>
    <t>Acuerdos</t>
  </si>
  <si>
    <t>Apoyo a los Consejeros Regionales en cuanto a la elaboración de su documentación.</t>
  </si>
  <si>
    <t>Mociones de Orden del día</t>
  </si>
  <si>
    <t>Pedidos</t>
  </si>
  <si>
    <t>Dictámenes</t>
  </si>
  <si>
    <t xml:space="preserve">Procesos Civiles </t>
  </si>
  <si>
    <t xml:space="preserve">Demanda </t>
  </si>
  <si>
    <t>Procesos Penales</t>
  </si>
  <si>
    <t xml:space="preserve">Denuncia </t>
  </si>
  <si>
    <t xml:space="preserve">Acciones Judiciales </t>
  </si>
  <si>
    <t xml:space="preserve">Escritos y Audiencias Judiciales </t>
  </si>
  <si>
    <t xml:space="preserve">Procesos Arbitrales </t>
  </si>
  <si>
    <t xml:space="preserve">Petición </t>
  </si>
  <si>
    <t>Procesos Judiciales Derivados de Arbitraje</t>
  </si>
  <si>
    <t xml:space="preserve">Conciliación </t>
  </si>
  <si>
    <t>Petición</t>
  </si>
  <si>
    <t xml:space="preserve">Elaboración de proyectos de resoluciones </t>
  </si>
  <si>
    <t xml:space="preserve">Elaboración de informes legales </t>
  </si>
  <si>
    <t xml:space="preserve">Elaboración de dictámenes legales </t>
  </si>
  <si>
    <t>Absolución de consultas</t>
  </si>
  <si>
    <t>Consulta</t>
  </si>
  <si>
    <t>Elaboración de convenios</t>
  </si>
  <si>
    <t>Elaboración de adendas</t>
  </si>
  <si>
    <t>Adenda</t>
  </si>
  <si>
    <t>Plan regional de capacitación</t>
  </si>
  <si>
    <t>Plla. Mensual</t>
  </si>
  <si>
    <t>Pago de pensiones, beneficios y demás servicios a los cesantes y jubilados</t>
  </si>
  <si>
    <t>Contrato Administrativo de servicios</t>
  </si>
  <si>
    <t>Contribuciones a ESSALUD de CAS</t>
  </si>
  <si>
    <t>Elaboración Libro Caja</t>
  </si>
  <si>
    <t>Libro</t>
  </si>
  <si>
    <t xml:space="preserve">Elaboración Conciliaciones Bancarias </t>
  </si>
  <si>
    <t>Documentos</t>
  </si>
  <si>
    <t>Elaboración Comprobantes de pago por Fte de Fto.</t>
  </si>
  <si>
    <t>Comprobante</t>
  </si>
  <si>
    <t>Elaboración Cheques Por Fte Fto</t>
  </si>
  <si>
    <t>Cheque</t>
  </si>
  <si>
    <t>Elaboración de Recibos de Ingreso</t>
  </si>
  <si>
    <t>Recibo</t>
  </si>
  <si>
    <t>Elaboración Formatos de retención</t>
  </si>
  <si>
    <t>Elaboración Cuadros Informativos de Cartas Fianzas</t>
  </si>
  <si>
    <t>Elaboración Cuadros Cartas Fianza de Seriedad de Oferta</t>
  </si>
  <si>
    <t>Custodia de Cartas Fianzas de Seriedad de Oferta</t>
  </si>
  <si>
    <t>Control y Custodia Cartas Fianzas Adelantos, Fiel Cumplimiento</t>
  </si>
  <si>
    <t>Carta</t>
  </si>
  <si>
    <t>Pago de Obligaciones Tributarias,PDT-Retención IGV.</t>
  </si>
  <si>
    <t>Formato</t>
  </si>
  <si>
    <t xml:space="preserve">Pago PDT Remuneraciones e I.R. </t>
  </si>
  <si>
    <t>Pago de AFP</t>
  </si>
  <si>
    <t>Rendición y Reposición FFPPEE</t>
  </si>
  <si>
    <t>Rendición</t>
  </si>
  <si>
    <t>Práctica arqueos sorpresivos a nivel regional</t>
  </si>
  <si>
    <t>Arqueo</t>
  </si>
  <si>
    <t>Directivas Internas Sistema Tesorería</t>
  </si>
  <si>
    <t>Directiva</t>
  </si>
  <si>
    <t>Capacitación Sistema de Tesorería</t>
  </si>
  <si>
    <t>Desarrollo de actividades administrativas</t>
  </si>
  <si>
    <t>Profesional</t>
  </si>
  <si>
    <t>Atenciones de diferentes necesidades de la SEDE por el Fondo de Caja Chica.</t>
  </si>
  <si>
    <t>Registro SIAF-SP</t>
  </si>
  <si>
    <t>Consolidación e integración de los Estados Financieros y Presupuestarios de las Unidades Ejecutoras del Pliego 445 GRC</t>
  </si>
  <si>
    <t>Conciliación Contable de las cuentas que conforman los Estados Financieros  trimestral</t>
  </si>
  <si>
    <t>Arqueos de fondos sorpresivos a la Oficina de Caja de la Sede Central del GRC</t>
  </si>
  <si>
    <t>Arqueos de Fondos</t>
  </si>
  <si>
    <t xml:space="preserve">Registro de fase de rendiciones de viáticos en el Sistema SIAF-SP </t>
  </si>
  <si>
    <t xml:space="preserve">Nº de expedientes </t>
  </si>
  <si>
    <t xml:space="preserve">Revisión de documentos comprometidos y devengados de las Planillas de haberes según regímenes </t>
  </si>
  <si>
    <t>Registro en el sistema SIAF-SP de notas contables mensuales</t>
  </si>
  <si>
    <t>Conciliación de las Cuentas de Enlace de la  Sede Central   y Pliego</t>
  </si>
  <si>
    <t>Conciliación de las Cuentas de Enlace del pliego 445 GRC y presentación a la DNTP-MEF</t>
  </si>
  <si>
    <t>Registro de saldos de fondos públicos -SAFOP  del Pliego 445 GRC y presentación a la DNTP-MEF</t>
  </si>
  <si>
    <t>Unidad de Procesos de Selección</t>
  </si>
  <si>
    <t>Unidad de Almacén</t>
  </si>
  <si>
    <t>Unidad de Servicios Auxiliares</t>
  </si>
  <si>
    <t>Unidad de Adquisiciones</t>
  </si>
  <si>
    <t>SUB GERENCIA DE PROGRAMACIÓN E INVERSIÓN PÚBLICA-OPI</t>
  </si>
  <si>
    <t>Evaluación de estudios de TDR´S</t>
  </si>
  <si>
    <t>Evaluación de estudios de Planes de Trabajo</t>
  </si>
  <si>
    <t>Evaluación de Verificatorias de Viabilidad</t>
  </si>
  <si>
    <t>Visitas de Campo para evaluación</t>
  </si>
  <si>
    <t>Evaluación y Registro del Informe de Consistencia (F - 15)</t>
  </si>
  <si>
    <t>Elaboración y Registro de Modificaciones en Fase de Inversión (F - 16)</t>
  </si>
  <si>
    <t>Evaluación y Registro de Informes de Cierre (F - 14)</t>
  </si>
  <si>
    <t>Seguimiento a Proyectos de Inversión Pública.</t>
  </si>
  <si>
    <t>Organización y seguimiento de las acciones del Comité Regional de Inversiones</t>
  </si>
  <si>
    <t>Opiniones Técnicas</t>
  </si>
  <si>
    <t>Opinión</t>
  </si>
  <si>
    <t>ACTIVIDADES DE SUB GERENCIA DE PRESUPUESTO Y TRIBUTACIÓN</t>
  </si>
  <si>
    <t>1</t>
  </si>
  <si>
    <t>2</t>
  </si>
  <si>
    <t>4.1</t>
  </si>
  <si>
    <t>ACTIVIDADES DE DIRECCIÓN REGIONAL DE DEFENSA NACIONAL</t>
  </si>
  <si>
    <t>Supervisión y monitoreo del sistema de defensa civil</t>
  </si>
  <si>
    <t>Informes de gestión</t>
  </si>
  <si>
    <t>Desarrollo de los centros de operación de emergencias</t>
  </si>
  <si>
    <t>Centro de Operaciones de Emergencia Provincial (COEP)</t>
  </si>
  <si>
    <t>Reabastecimiento del Almacén Regional y Almacenes Adelantados de Defensa Civil del ámbito regional de Cajamarca</t>
  </si>
  <si>
    <t>Entrega adecuada y oportuna de bienes de ayuda humanitaria</t>
  </si>
  <si>
    <t>Acciones conducentes de Defensa Nacional y Movilización</t>
  </si>
  <si>
    <t>Apoyo social a poblaciones vulnerables</t>
  </si>
  <si>
    <t>Reuniones de coordinación</t>
  </si>
  <si>
    <t>Plan Regional de Seguridad Ciudadana de Cajamarca</t>
  </si>
  <si>
    <t>Evento de participación vecinal con la "Caminata por la Seguridad Ciudadana"</t>
  </si>
  <si>
    <t>Pasacalle</t>
  </si>
  <si>
    <t>Capacitación y sensibilización en Gestión de Riesgo de Desastres, Seguridad Ciudadana y Defensa Nacional</t>
  </si>
  <si>
    <t>Simulacros de sismo a nivel regional y local</t>
  </si>
  <si>
    <t>Capacitación sobre el Programa Presupuestal 068 - Reducción de Vulnerabilidad y Atención de Emergencias por Desastres</t>
  </si>
  <si>
    <t>Capacitación sobre la incorporación de la Gestión del Riesgo de Desastres en las Universidades</t>
  </si>
  <si>
    <t>Capacitación en Gestión del Riesgo de Desastres y Seguridad Ciudadana dirigido a Juntas Vecinales y Rondas Urbanas</t>
  </si>
  <si>
    <t>Capacitación en Seguridad Ciudadana dirigido a Rondas Campesinas</t>
  </si>
  <si>
    <t>Apoyo por emergencia en servicios e infraestructura pública</t>
  </si>
  <si>
    <t>Apoyo por peligro inminente o reducción de vulnerabilidades</t>
  </si>
  <si>
    <t>Defensa Nacional</t>
  </si>
  <si>
    <t>Seguridad Ciudadana</t>
  </si>
  <si>
    <t>Atención de Emergencias y Desastres</t>
  </si>
  <si>
    <t>Mantenimiento y Reparación de Infraestructura por Emergencia</t>
  </si>
  <si>
    <t>GERENCIA REGIONAL DE PLANEAMIENTO PRESUPUESTO Y ACONDICIONAMIENTO TERRITORIAL</t>
  </si>
  <si>
    <t>ACTIVIDADES DE LA SUB GERENCIA DE ACONDICIONAMIENTO TERRITORIAL</t>
  </si>
  <si>
    <t>Demarcación Territorial</t>
  </si>
  <si>
    <t>Estudios de Diagnóstico de Zonificación Territorial</t>
  </si>
  <si>
    <t>Estudio</t>
  </si>
  <si>
    <t>Expedientes de Saneamiento y Organización Territorial</t>
  </si>
  <si>
    <t>Saneamiento de Límite Interdepartamental</t>
  </si>
  <si>
    <t>Acta</t>
  </si>
  <si>
    <t>Categorización de Centros Poblados</t>
  </si>
  <si>
    <t>Saneamiento Bienes del Estado</t>
  </si>
  <si>
    <t>Elaboración de expedientes de saneamiento de terrenos estatales</t>
  </si>
  <si>
    <t>Seguimiento a afectación de terrenos PEOT en Huabal Alto, San Felipe-Jaén, seguimiento COFODES</t>
  </si>
  <si>
    <t>Asistencia técnica a Unidades Ejecutoras en elaboración de expedientes para el saneamiento de sus bienes inmuebles</t>
  </si>
  <si>
    <t>Ordenamiento Territorial</t>
  </si>
  <si>
    <t>Asambleas</t>
  </si>
  <si>
    <t>Construcción Sede Gerencia Sub Regional Chota</t>
  </si>
  <si>
    <t>Celendín</t>
  </si>
  <si>
    <t>San Ignacio</t>
  </si>
  <si>
    <t>Consultoría</t>
  </si>
  <si>
    <t>Jaén, San Ignacio</t>
  </si>
  <si>
    <t>Acciones de Implementación de la Estrategia Regional de Diversidad Biológica de Cajamarca</t>
  </si>
  <si>
    <t>Servicios de articulación empresarial y acceso a mercados (Ferias)</t>
  </si>
  <si>
    <t>Seguimiento y Monitoreo de proyectos en ejecución</t>
  </si>
  <si>
    <t xml:space="preserve">Desarrollo de capacidades, asociatividad y fomento de la inversión público privada, para la competitividad y el desarrollo económico rural sostenible.  </t>
  </si>
  <si>
    <t>ACTIVIDADES DE LA SUB GERENCIA DE PROMOCIÓN EMPRESARIAL</t>
  </si>
  <si>
    <t>Oficina de Atención a la Persona con Discapacidad- OREDIS</t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</si>
  <si>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4.4. Promover la formulación de estudios de pre inversión con programas y proyectos de impacto regional, así como gestionar su financiamiento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</si>
  <si>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3.2. Promover la gestión sostenible del agua, los suelos, la biodiversidad y los ecosistemas vulnerables.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</si>
  <si>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3.3. Impulsar procesos de planificación y gestión territorial con base en la ZEE y el Plan de Ordenamiento Territorial (POT) departamental.</t>
    </r>
  </si>
  <si>
    <t>Superior Tecnológica</t>
  </si>
  <si>
    <t>Planillas</t>
  </si>
  <si>
    <t>GABINETE DE ASESORES ALTA DIRECCIÓN</t>
  </si>
  <si>
    <t>Acciones Administrativas</t>
  </si>
  <si>
    <t>Pensionistas</t>
  </si>
  <si>
    <t>Asegurar el pago de pensiones, beneficios y demás servicios a los cesantes y jubilados</t>
  </si>
  <si>
    <t>Pago de deuda pública</t>
  </si>
  <si>
    <t>4</t>
  </si>
  <si>
    <t>3</t>
  </si>
  <si>
    <r>
      <rPr>
        <b/>
        <sz val="10"/>
        <color theme="1"/>
        <rFont val="Calibri"/>
        <family val="2"/>
        <scheme val="minor"/>
      </rPr>
      <t>EJE DE DESARROLLO                                    :</t>
    </r>
    <r>
      <rPr>
        <sz val="10"/>
        <color theme="1"/>
        <rFont val="Calibri"/>
        <family val="2"/>
        <scheme val="minor"/>
      </rPr>
      <t xml:space="preserve">  SOCIAL CULTURAL                                                                                                            </t>
    </r>
  </si>
  <si>
    <t>Superior Artística</t>
  </si>
  <si>
    <t>DIRECCION REGIONAL DE VIVIENDA, CONSTRUCCION Y SANEAMIENTO -ACTIVIDADES</t>
  </si>
  <si>
    <t>GERENCIA REGIONAL DE DESARROLLO ECONÓMICO</t>
  </si>
  <si>
    <t xml:space="preserve">DIRECCIÓN REGIONAL DE PRODUCCIÓN -ACTIVIDADES </t>
  </si>
  <si>
    <t>4.2</t>
  </si>
  <si>
    <t>GERENCIA SUB REGIONAL DE CUTERVO</t>
  </si>
  <si>
    <t>GERENCIA SUB REGIONAL DE JAÉN</t>
  </si>
  <si>
    <t>GERENCIA REGIONAL DE PLANEAMIENTO, PRESUPUESTO Y ACONDICIONAMIENTO TERRITORIAL</t>
  </si>
  <si>
    <t xml:space="preserve">PROREGION -ACTIVIDADES </t>
  </si>
  <si>
    <t xml:space="preserve">SUBGERENCIA DE DESARROLLO INSTITUCIONAL -ACTIVIDADES </t>
  </si>
  <si>
    <t xml:space="preserve">DIRECCIÓN DE ABASTECIMIENTOS -ACTIVIDADES </t>
  </si>
  <si>
    <t xml:space="preserve"> DIRECCIÓN DE CONTABILIDAD -ACTIVIDADES </t>
  </si>
  <si>
    <t xml:space="preserve"> DIRECCIÓN DE TESORERÍA -ACTIVIDADES </t>
  </si>
  <si>
    <t xml:space="preserve">DIRECCIÓN DE PATRIMONIO -ACTIVIDADES </t>
  </si>
  <si>
    <t xml:space="preserve">DIRECCIÓN PERSONAL -ACTIVIDADES </t>
  </si>
  <si>
    <t xml:space="preserve">DIRECCIÓN REGIONAL DE ADMINISTRACIÓN </t>
  </si>
  <si>
    <t xml:space="preserve">DIRECCIÓN ADMINISTRACIÓN -ACTIVIDADES </t>
  </si>
  <si>
    <t xml:space="preserve">DIRECCIÓN DE ASESORIA JURIDICA -ACTIVIDADES </t>
  </si>
  <si>
    <t xml:space="preserve">PROCURADURÍA PÚBLICA REGIONAL -ACTIVIDADES </t>
  </si>
  <si>
    <t xml:space="preserve">SECRETARÍA CONSEJO REGIONAL -ACTIVIDADES </t>
  </si>
  <si>
    <t xml:space="preserve">OFICINA DE ENLACE -ACTIVIDADES </t>
  </si>
  <si>
    <t xml:space="preserve">SECRETARÍA GENERAL -ACTIVIDADES </t>
  </si>
  <si>
    <t>GERENCIA GENERAL -ACTIVIDADES</t>
  </si>
  <si>
    <t>Atenciones</t>
  </si>
  <si>
    <t>Participar en el Proceso de Elaboración de Planos Prediales de la Jurisdicción del departamento de Cajamarca y en el Proceso de aprobación de valores arancelarios con o sin inspección técnica.</t>
  </si>
  <si>
    <t>Evaluación continua del la ejecución del POA 2015 SGAP</t>
  </si>
  <si>
    <t>Visita/Informe</t>
  </si>
  <si>
    <t xml:space="preserve">Capacitación continua a personal de salud, educación, vivienda, formuladores de proyectos y actores comunitarios en temas vinculados con las prioridades regionales mediante la ejecución de Talleres de Capacitación a nivel de sub regiones. </t>
  </si>
  <si>
    <t>Visita</t>
  </si>
  <si>
    <t>RESULTADO 5: Implementación de estrategias, acciones y propuestas integrales para asegurar cumplir con los compromisos en el Marco de los Convenios FONDO DE ESTÍMULO AL DESEMPEÑO, Salud Materna Neonatal-BELGA, SIS Capitado, Intercambio Prestacional a fin de mejorar la salud materna y la salud del niño-niña menor de 5 años, considerando las prioridades regionales</t>
  </si>
  <si>
    <t xml:space="preserve">Reuniones con Unidades Ejecutoras, para el  seguimiento de Indicadores del Convenio Presupuestario FED Y BELGA </t>
  </si>
  <si>
    <t>Participar y monitorear la implementación del Programa de Inversión Desnutrición Crónica Infantil (DCI) y de Proyectos de Inversión Pública</t>
  </si>
  <si>
    <t>RESULTADO 6: Implementación de Acuerdos y Planes de trabajo con Organizaciones de Base, Instituciones Públicas y Privadas para la Vigilancia Comunitaria y el desarrollo de la Investigación en la Región</t>
  </si>
  <si>
    <t>RESULTADO 7: Mejora en la ejecución financiera y física de los Programas Presupuestales de Salud, e implementación de Documentos de Gestión y Planes Regionales</t>
  </si>
  <si>
    <t>Actualización de los documentos de gestión y articulación entre centro de salud y educación, en pro de las prioridades regionales</t>
  </si>
  <si>
    <t>Visitas de supervisión y evaluación a la implementación de la propuesta técnica de articulación entre salud y educación, en torno a las prioridades regionales</t>
  </si>
  <si>
    <t>RESULTADO 8: Alianzas público privadas para trabajar articuladamente el tema  de Agua y Saneamiento en la Región.</t>
  </si>
  <si>
    <t>Promover la articulación (pública-privada) para mejorar los aspectos de agua y saneamiento básico rural en coordinación con vivienda</t>
  </si>
  <si>
    <t xml:space="preserve">RESULTADO 9: Incremento en la cobertura y acceso a servicios públicos de calidad: salud y asistencia social para reducir la mortalidad materna neontal, la desnutrición infantil </t>
  </si>
  <si>
    <t xml:space="preserve">RESULTADO 10: Niños. Niñas, mujeres, hombres, jóvenes, adultos mayores, incluidos socialmente. </t>
  </si>
  <si>
    <t>Desarrollar, implementar y aplicar políticas, normas y proyectos para insertar a la población vulnerable en los planes de mejora continua</t>
  </si>
  <si>
    <t>Viáticos</t>
  </si>
  <si>
    <t>Global</t>
  </si>
  <si>
    <t>Pasajes</t>
  </si>
  <si>
    <t>Combustible</t>
  </si>
  <si>
    <t xml:space="preserve">Aplicación del Plan de Capacitación y monitoreo a la implementación  del Plan  Regional de Población en Gobiernos Locales </t>
  </si>
  <si>
    <t xml:space="preserve">Informe </t>
  </si>
  <si>
    <t xml:space="preserve">Acta de conformación </t>
  </si>
  <si>
    <t xml:space="preserve">Encuentro Regional de Mujeres Liderezas </t>
  </si>
  <si>
    <t>Plan/ Informe</t>
  </si>
  <si>
    <t xml:space="preserve">Ejecución de Campaña comunicacional para la reducción y prevención de la violencia  familiar y sexual </t>
  </si>
  <si>
    <t>Lanzamiento, ejecución y evaluación de la V campaña comunicacional.</t>
  </si>
  <si>
    <t>Articulación con la RENIEC, Salud, Educación en campañas de entrega  de documentos de identidad.</t>
  </si>
  <si>
    <t>Reconocimiento Regional a los  Gobiernos Locales con mayor número de niños y niñas con DNI.</t>
  </si>
  <si>
    <t xml:space="preserve">Resolución de reconocimiento </t>
  </si>
  <si>
    <t>Difusión de instrumentos  normativos y de políticas sobre la niñez y adolescencia.</t>
  </si>
  <si>
    <t xml:space="preserve">Persona </t>
  </si>
  <si>
    <t>Resultado 05: Gobiernos locales, organizaciones de base e instituciones  implementan el  Plan  Estratégico  Regional   contra la Violencia Familiar  y Sexual.</t>
  </si>
  <si>
    <t>Personal CAS</t>
  </si>
  <si>
    <t xml:space="preserve">Elaboración e implementación de una Ordenanza de Voluntariado Regional </t>
  </si>
  <si>
    <t>Incremento de los ingresos de los pequeños productores de la Región Cajamarca (JICA)</t>
  </si>
  <si>
    <t>Ejecución de Fondos Concursables de Ley Nº 29337, Iniciativa de apoyo de la competitividad productiva - PROCOMPITE. (CAS)</t>
  </si>
  <si>
    <t>Gestión de proyectos y actividades (CAS)</t>
  </si>
  <si>
    <t>Acciones de Promoción Empresarial</t>
  </si>
  <si>
    <t>Promoción de ciencia, tecnología e innovación  y fortalecimiento del CORECITI</t>
  </si>
  <si>
    <t>Promoción de la micro, pequeña y mediana empresa y fortalecimiento del COREMYPE</t>
  </si>
  <si>
    <t>Actividad</t>
  </si>
  <si>
    <t>Fortalecimiento de la Gestión Institucional</t>
  </si>
  <si>
    <t>Mejoramiento de la infraestructura e implementación de local institucional.</t>
  </si>
  <si>
    <t>2.1</t>
  </si>
  <si>
    <t>2.2</t>
  </si>
  <si>
    <t>3.2</t>
  </si>
  <si>
    <t>3.3</t>
  </si>
  <si>
    <t>3.4</t>
  </si>
  <si>
    <t>4.3</t>
  </si>
  <si>
    <t>5</t>
  </si>
  <si>
    <t>6</t>
  </si>
  <si>
    <t>Reporte</t>
  </si>
  <si>
    <t>Pasantía</t>
  </si>
  <si>
    <t>9</t>
  </si>
  <si>
    <t>13</t>
  </si>
  <si>
    <t xml:space="preserve">Promover el desarrollo turístico mediante potencialidades regionales - Perfiles de Proyectos  </t>
  </si>
  <si>
    <t>Coordinar con los gobiernos locales acciones de turismo</t>
  </si>
  <si>
    <t>Llevar y mantener actualizados los directorios de prestadores de servicios turísticos</t>
  </si>
  <si>
    <t>Llevar y mantener actualizados el inventario de recursos turísticos</t>
  </si>
  <si>
    <t>Promover la formación y capacitación del personal que participa en la actividad turística (Hospedajes, Restaurantes, agencias de viaje) - Promover la asociatividad o Cluster de empresas de servicios turísticos.</t>
  </si>
  <si>
    <t>Declarar eventos de interés turístico regional</t>
  </si>
  <si>
    <t>Suscribir contratos, convenios o acuerdos de cooperación interinstitucional</t>
  </si>
  <si>
    <t>Ejecutar actividades del PERTUR</t>
  </si>
  <si>
    <t>Organizar y conducir las actividades de promoción turística de la región: Carnaval de Cajamarca, Florecer, Corpus Christy,Día del Clarinero, Feria de Fongal, Semana Turística.</t>
  </si>
  <si>
    <t>Fortalecimiento de la Cultura Turística - Convenio Turismo Educativo (Material de divulgación para alumnos)</t>
  </si>
  <si>
    <t>Directorio</t>
  </si>
  <si>
    <t>Jerarquizaciones</t>
  </si>
  <si>
    <t>Supervisiones</t>
  </si>
  <si>
    <t>Tours</t>
  </si>
  <si>
    <t>Fomentar y desarrollar proyectos, programas para promover la competitividad y productividad de la actividad artesanal - preparatoria</t>
  </si>
  <si>
    <t>Promover  el desarrollo de nuevos productos artesanales que se exporta</t>
  </si>
  <si>
    <t>Supervisar y evaluar la actividad artesanal (agentes cumplen normativa)</t>
  </si>
  <si>
    <t>Fomentar y autorizar Ferias y exposiciones regionales, así como declarar eventos de interés artesanal en la región</t>
  </si>
  <si>
    <t>Propiciar la conservación, preservación, rescate y desarrollo de las técnicas de producción tradicional - TDR</t>
  </si>
  <si>
    <t>Promover mecanismos e instrumentos para el desarrollo de la actividad artesanal vinculados a la actividad turística</t>
  </si>
  <si>
    <t>Identificar oportunidades de inversión, difundir y promover el crecimiento de las inversiones en la actividad artesanal</t>
  </si>
  <si>
    <t>Fomentar la innovación, la transferencia de tecnología y la formación de artesanos (capacitación de artesanos inscritos en RNA y RR)</t>
  </si>
  <si>
    <t>Organización de gremios y/o asociaciones por línea artesanal</t>
  </si>
  <si>
    <t>Producto</t>
  </si>
  <si>
    <t>Proyectos desarrollados por inversionistas</t>
  </si>
  <si>
    <t>Artesanos</t>
  </si>
  <si>
    <t>Asociación</t>
  </si>
  <si>
    <t xml:space="preserve">Impulsar el desarrollo de los recursos humanos y la mejorar en la productividad y competitividad a través de actividades de capacitación, provisión de información  y transferencia tecnológica </t>
  </si>
  <si>
    <t>Elaborar y ejecutar las estrategias y el programa de desarrollo de la oferta exportable y de promoción de las exportaciones regionales (promover la asociatividad de empresas exportadoras)</t>
  </si>
  <si>
    <t>Identificar oportunidades comerciales para los productos de la región y promover la participación privada en proyectos de inversión en la región (Santa Catalina Valle Alto Jequetepeque)</t>
  </si>
  <si>
    <t>Pago Personal CAS</t>
  </si>
  <si>
    <t>Bonificación personal CAS</t>
  </si>
  <si>
    <t>Personas</t>
  </si>
  <si>
    <t>Elaboración, monitoreo y evaluación  del Plan Operativo 2015</t>
  </si>
  <si>
    <t>Participar en la elaboración y seguimiento de planes, programas y proyectos -participación reuniones multisectoriales</t>
  </si>
  <si>
    <t>Acciones Administrativas (adquisición de repuestos vehículo, servicios luz, teléfono, agua, servicio de limpieza, arreglo vehículo,  pago correo, seguro vehículo, equipos computacionales)</t>
  </si>
  <si>
    <t>Inventario Anual de bienes patrimoniales</t>
  </si>
  <si>
    <t>Programa</t>
  </si>
  <si>
    <t>1.1</t>
  </si>
  <si>
    <t>1.2</t>
  </si>
  <si>
    <t>1.3</t>
  </si>
  <si>
    <t>1.4</t>
  </si>
  <si>
    <t>1.5</t>
  </si>
  <si>
    <t>1.6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</si>
  <si>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</si>
  <si>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</si>
  <si>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</si>
  <si>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</si>
  <si>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</si>
  <si>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</si>
  <si>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</si>
  <si>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</si>
  <si>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</si>
  <si>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</si>
  <si>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</si>
  <si>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</si>
  <si>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</si>
  <si>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Promover la calidad, la productividad y la diferenciación de productos artesanales  (líneas artesanales con identidad regional)</t>
  </si>
  <si>
    <t>3.1</t>
  </si>
  <si>
    <t>3.5</t>
  </si>
  <si>
    <t>3.6</t>
  </si>
  <si>
    <t>3.7</t>
  </si>
  <si>
    <t>3.8</t>
  </si>
  <si>
    <t>3.9</t>
  </si>
  <si>
    <t>3.10</t>
  </si>
  <si>
    <t>3.11</t>
  </si>
  <si>
    <t>4.4</t>
  </si>
  <si>
    <t xml:space="preserve"> Acciones de Artesanía</t>
  </si>
  <si>
    <t xml:space="preserve"> Acciones de Comercio</t>
  </si>
  <si>
    <t>Remuneraciones Personal Nombrado</t>
  </si>
  <si>
    <t>Acciones de Turismo en la Región Cajamarca</t>
  </si>
  <si>
    <t xml:space="preserve"> Acciones de Planificación y Administración</t>
  </si>
  <si>
    <t>Hualgayoc</t>
  </si>
  <si>
    <t>Aguinaldos</t>
  </si>
  <si>
    <t>Multidistrital</t>
  </si>
  <si>
    <t>Personal Administrativo Nombrado (Régimen Público).</t>
  </si>
  <si>
    <t>Asignación a fondos para personal</t>
  </si>
  <si>
    <t>Bonificación por Escolaridad</t>
  </si>
  <si>
    <t>Alimentos y bebidas para consumo humano</t>
  </si>
  <si>
    <t>Combustibles y carburantes</t>
  </si>
  <si>
    <t>Lubricantes, grasas y afines</t>
  </si>
  <si>
    <t>Repuestos y accesorios</t>
  </si>
  <si>
    <t>Papelería en general, útiles y materiales de escritorio.</t>
  </si>
  <si>
    <t>De vehículos</t>
  </si>
  <si>
    <t>Materiales de acondicionamiento</t>
  </si>
  <si>
    <t>Otros Gastos</t>
  </si>
  <si>
    <t>Servicio de suministro de energía eléctrica</t>
  </si>
  <si>
    <t>Servicio de telefonía móvil</t>
  </si>
  <si>
    <t>Servicio de telefonía fija</t>
  </si>
  <si>
    <t>Servicio de impresiones, encuadernación y empastado.</t>
  </si>
  <si>
    <t>Otros servicios de informática</t>
  </si>
  <si>
    <t>Atenciones oficiales y celebraciones institucionales.</t>
  </si>
  <si>
    <t>Servicios diversos</t>
  </si>
  <si>
    <t>Contrato Administrativo de Servicios</t>
  </si>
  <si>
    <t>Perfil</t>
  </si>
  <si>
    <t>Gastos Administrativos</t>
  </si>
  <si>
    <t xml:space="preserve">ACTIVIDADES  -SUB GERENCIA DE DESARROLLO SOCIAL Y HUMANO  </t>
  </si>
  <si>
    <t>PROYECTO MEJORA DE LA CALIDAD EDUCATIVA</t>
  </si>
  <si>
    <t>Servicios</t>
  </si>
  <si>
    <t xml:space="preserve">Campañas  de promoción  de Cultura de Paz  y derechos humanos en coordinación con GL, Organizaciones e instituciones que manejan conflictos sociales. </t>
  </si>
  <si>
    <t>Dirección de Promoción del Empleo y Capacitación Laboral</t>
  </si>
  <si>
    <t>Diagnóstico del buscador de empleo - Triaje</t>
  </si>
  <si>
    <t>Recoge y registra la demanda laboral de las empresas - Acercamiento Empresarial</t>
  </si>
  <si>
    <t>Vacantes</t>
  </si>
  <si>
    <t>Colocación de personal - Bolsa de Trabajo</t>
  </si>
  <si>
    <t>Buscador de Empleo Capacitado y Asesorado - ABE</t>
  </si>
  <si>
    <t>Plan de Igualdad de Oportunidades - PIO</t>
  </si>
  <si>
    <t>Feria de Promoción del Empleo - Semana del Empleo (Cajamarca-Jaén)</t>
  </si>
  <si>
    <t>Encuentro Empresarial (Cajamarca-Jaén)</t>
  </si>
  <si>
    <t>Inspecciones por Denuncia (Despidos arbitrarios e incumplimiento  de Disposiciones Laborales).</t>
  </si>
  <si>
    <t>14</t>
  </si>
  <si>
    <t>Pago de personal nombrado</t>
  </si>
  <si>
    <t>Disponer facilidades y medidas de seguridad de los turistas - Red de Protección al Turista</t>
  </si>
  <si>
    <t xml:space="preserve">Total Personal CAS </t>
  </si>
  <si>
    <t>Gastos Generales</t>
  </si>
  <si>
    <t>Supervisión</t>
  </si>
  <si>
    <t>GERENCIA SUB REGIONAL DE CUTERVO -PROYECTOS</t>
  </si>
  <si>
    <t>Meses cubiertos</t>
  </si>
  <si>
    <t>Acción Ejecutada</t>
  </si>
  <si>
    <t>Informe de Plan Aprobado</t>
  </si>
  <si>
    <t>Evaluación Física Realizada</t>
  </si>
  <si>
    <t>Informe Aprobado</t>
  </si>
  <si>
    <t>Reunión-Taller Ejecutada</t>
  </si>
  <si>
    <t>Juntas Ejecutadas</t>
  </si>
  <si>
    <t>Resoluciones Aprobadas</t>
  </si>
  <si>
    <t>Contrato Efectuado</t>
  </si>
  <si>
    <t>Reuniones Ejecutadas</t>
  </si>
  <si>
    <t>Acuerdo Firmado</t>
  </si>
  <si>
    <t>Evaluación Física Financiera</t>
  </si>
  <si>
    <t>CAS</t>
  </si>
  <si>
    <t>Participar en las Sesiones de Directorio de Gerentes (Ordinarias y Extraordinarias)</t>
  </si>
  <si>
    <t>1.1.</t>
  </si>
  <si>
    <t>Convocar a Sesiones de Directorio de Gerentes (Ordinarias y Extraordinarias)</t>
  </si>
  <si>
    <t>Elaborar Actas de Sesión de Directorio de Gerentes</t>
  </si>
  <si>
    <t>Registrar los acuerdos adoptados en Directorio de Gerentes</t>
  </si>
  <si>
    <t>Conducir los Procesos de Recepción, Revisión, Registro, Trámite y Seguimiento de Documentación</t>
  </si>
  <si>
    <t>Notificar Resoluciones de Presidencia, Gerencia General, Gerencias Regionales y otra documentación.</t>
  </si>
  <si>
    <t>Control y Supervisión de Área de Trámite Documentario.</t>
  </si>
  <si>
    <t>Trámite de Documentación de las diferentes áreas ingresadas a la Sede del Gobierno Regional.</t>
  </si>
  <si>
    <t>Inventario de Archivo Institucional (Registro, Inventario, Almacenamiento de Documentación)</t>
  </si>
  <si>
    <t>Recepción, Registro, Trámite de Documentos a diferentes áreas, Unidades Ejecutoras e Instituciones varias</t>
  </si>
  <si>
    <t>Oficios y resoluciones</t>
  </si>
  <si>
    <t>Archivadores</t>
  </si>
  <si>
    <t>Citación</t>
  </si>
  <si>
    <t>Personal y Obligaciones Sociales</t>
  </si>
  <si>
    <t>Remuneración personal nombrado</t>
  </si>
  <si>
    <t>Registros de Empresas Promocionales de personas con discapacidad</t>
  </si>
  <si>
    <t>Aprobación de Reglamentos de Seguridad y Salud en el Trabajo</t>
  </si>
  <si>
    <t>Registro y aprobación de Libros de Actas de Comités de Seguridad y Salud en el Trabajo</t>
  </si>
  <si>
    <t>Essalud+Aguinaldos</t>
  </si>
  <si>
    <t xml:space="preserve">Taller </t>
  </si>
  <si>
    <t xml:space="preserve">Capacitación </t>
  </si>
  <si>
    <t>Campaña de Sensibilización</t>
  </si>
  <si>
    <t>Certificados de Discapacidad</t>
  </si>
  <si>
    <t xml:space="preserve">Encuentro Empresarial </t>
  </si>
  <si>
    <t>Multiprovincial: Jaén,  y Cutervo</t>
  </si>
  <si>
    <t xml:space="preserve"> Carnets de Inscripción </t>
  </si>
  <si>
    <t>Resultado 5: Funcionarios públicos, privados y sociedad en general sensibilizados en temática de discapacidad.</t>
  </si>
  <si>
    <t>Resultado 6: Personas con discapacidad acceden a servicios de salud a través de campañas médicas integrales y de certificación de discapacidad.</t>
  </si>
  <si>
    <t>Resultado 7: Persona con discapacidad de la región mejoran el acceso a un trabajo digno.</t>
  </si>
  <si>
    <t>Resultado 8: Niños y niñas con necesidades educativas especiales cuentan con atención docente preparada.</t>
  </si>
  <si>
    <t>Contribuciones a Essalud CAS</t>
  </si>
  <si>
    <t>Útiles de escritorio</t>
  </si>
  <si>
    <t>Resultado 1: Organizaciones de personas con discapacidad de la Región Cajamarca ejercen su derecho a la consulta y fortalecen sus capacidades y de desarrollo asociativo</t>
  </si>
  <si>
    <t>Resultado 2: Oficinas municipales de atención a las personas con discapacidad de la región de Cajamarca reciben asistencia técnica y capacitación para realizar sus funciones.</t>
  </si>
  <si>
    <t>Útiles</t>
  </si>
  <si>
    <t>Expediente y Proyecto de RER</t>
  </si>
  <si>
    <t>Asambleas Ordinarias y Extraordinarias de la CTR ZEE-OT</t>
  </si>
  <si>
    <t>Proyecto de Ordenanza Regional</t>
  </si>
  <si>
    <t>Proyecto de Acuerdo Regional</t>
  </si>
  <si>
    <t>ZEE (posicionamiento y aplicación)</t>
  </si>
  <si>
    <t>Estudios Especializados (Implementación de recomendaciones y aplicación)</t>
  </si>
  <si>
    <t xml:space="preserve">Proyectos de Ley relacionados al Ordenamiento Territorial </t>
  </si>
  <si>
    <t>Implementación del Plan de Comunicación Interna y Externa</t>
  </si>
  <si>
    <t>Personal por CAS + ESSALUD (9 con contrato vigente)+Aguinaldo</t>
  </si>
  <si>
    <t>Proyecto de Ley</t>
  </si>
  <si>
    <t>Sistema de Información</t>
  </si>
  <si>
    <t>Propuesta metodológica POT</t>
  </si>
  <si>
    <t>Gestión Permanente (Material de escritorio, toners y respuestos)</t>
  </si>
  <si>
    <t>Reconocimiento de retribuciones personal CAS y Contribuciones a ESSALUD</t>
  </si>
  <si>
    <t>Plla.Mensual</t>
  </si>
  <si>
    <t>Pago de contribuciones a ESSALUD- Personal CAS</t>
  </si>
  <si>
    <t>Servicios, Campañas, Talleres</t>
  </si>
  <si>
    <t>Acciones de control y la permanencia del personal</t>
  </si>
  <si>
    <t>Implementación con materiales para el desarrollo del Sistema y Sub Sistema de Personal</t>
  </si>
  <si>
    <t>Atención de pedidos de servicios</t>
  </si>
  <si>
    <t>Estudio de posibilidades de mercado para la adquisición de Servicios</t>
  </si>
  <si>
    <t>Estudio de posibilidades de mercado</t>
  </si>
  <si>
    <t>Elaboración de contratos de servicios en SIGA</t>
  </si>
  <si>
    <t>Elaboración de órdenes de servicio</t>
  </si>
  <si>
    <t>Registro de Compromiso Anual en SIAF</t>
  </si>
  <si>
    <t>Registro del Compromiso Mensual en el SIAF de órdenes de servicios</t>
  </si>
  <si>
    <t>Notificación de órdenes de servicios a proveedores</t>
  </si>
  <si>
    <t>Atención de pedidos de bienes</t>
  </si>
  <si>
    <t>Consolidación de pedidos de bienes</t>
  </si>
  <si>
    <t>Estudio de posibilidades de mercado para la adquisición de Bienes</t>
  </si>
  <si>
    <t>Elaboración de contratos de bienes en SIGA</t>
  </si>
  <si>
    <t>Elaboración de órdenes de compra</t>
  </si>
  <si>
    <t>Registro del Compromiso Mensual en el SIAF de órdenes de compras</t>
  </si>
  <si>
    <t>Elaboración del PAC, modificatorias y registro en la web del SEACE</t>
  </si>
  <si>
    <t>PAAC</t>
  </si>
  <si>
    <t>Elaboración de resúmenes ejecutivos de procesos de selección</t>
  </si>
  <si>
    <t>Resúmen ejecutivo</t>
  </si>
  <si>
    <t>Solicitudes de Aprobación de los expedientes de contratación</t>
  </si>
  <si>
    <t>Solicitud</t>
  </si>
  <si>
    <t>Registro de participantes en procesos de selección</t>
  </si>
  <si>
    <t>Ejecución de los procesos de selección</t>
  </si>
  <si>
    <t>Proceso Selección</t>
  </si>
  <si>
    <t>Publicación de las diferentes fases de la ejecución de los procesos de selección en el SEACE y Portal Institucional</t>
  </si>
  <si>
    <t>Verificación y registro de la conformidad de ingreso de bienes al almacén</t>
  </si>
  <si>
    <t>Registro de PECOSAs y salidas de bienes del almacén</t>
  </si>
  <si>
    <t>PECOSA</t>
  </si>
  <si>
    <t>Revisión y seguimiento del Kardex del almacén</t>
  </si>
  <si>
    <t>Brindar información contable del almacén</t>
  </si>
  <si>
    <t>Reporte Contable</t>
  </si>
  <si>
    <t>Dirección de Abastecimientos</t>
  </si>
  <si>
    <t>Revisión de TDRs, Especificaciones Técnicas</t>
  </si>
  <si>
    <t>Elaboración de Contratos administrativos (Bienes/Servicios/Obras)</t>
  </si>
  <si>
    <t>Contrato</t>
  </si>
  <si>
    <t>Operatividad de unidades móviles de la Sede del Gobierno Regional Cajamarca y rindentes</t>
  </si>
  <si>
    <t>Limpieza de ambientes de la Sede del Gobierno Regional Cajamarca</t>
  </si>
  <si>
    <t>Garantizar la seguridad y vigilancia del las instalaciones del Gobierno Regional Cajamarca</t>
  </si>
  <si>
    <t>Provisión de Gastos Generales de la Sede del GRC (Agua, Luz Eléctrica, Telefonía, Telefonía Móvil)</t>
  </si>
  <si>
    <t>Órden de servicio</t>
  </si>
  <si>
    <t>Registro SIGA</t>
  </si>
  <si>
    <t>Supervisión a las diferentes Unidades Ejecutoras sobre Operatividad Contable.</t>
  </si>
  <si>
    <t>Registro de Compromisos anuales  en el Sistema SIAP-SP</t>
  </si>
  <si>
    <t>Registro Contable en el SIAF-SP de las fases de Gastos: Compromiso, Devengado, Girado y Pagado.</t>
  </si>
  <si>
    <t>Registros Contables</t>
  </si>
  <si>
    <t>Registro Contable en el SIAF-SP de las fases de ingresos: Determinado y Recaudado.</t>
  </si>
  <si>
    <t>Formulación mensual de  Estados Financieros y Presupuestarios de la Sede Central del GRC.</t>
  </si>
  <si>
    <t>Formulación Mensual EE.FF.</t>
  </si>
  <si>
    <t>Formulación trimestral de los Estados Financieros y Presupuestarios de la Sede Central del GRC.</t>
  </si>
  <si>
    <t>Formulación trimestral EE.FF.</t>
  </si>
  <si>
    <t>Consolidación e integración EE.FF</t>
  </si>
  <si>
    <t>Presentaciones EE.FF y EE.PP del Pliego</t>
  </si>
  <si>
    <t>Auxiliares Estándar</t>
  </si>
  <si>
    <t>Nº expedientes</t>
  </si>
  <si>
    <t xml:space="preserve">Registro admirativo de fase de compromisos y devengados  en el SIAF - SP   de todos los documentos de gastos que generan afectación presupuestal </t>
  </si>
  <si>
    <t xml:space="preserve">Registro admirativo de fase de compromisos y devengados  en el SIGA   de los documentos de gastos que generan afectación presupuestal </t>
  </si>
  <si>
    <t>Presentación de Estados Financieros y Presupuestarios Pliego 445 Greca la DNCP-MEF</t>
  </si>
  <si>
    <t xml:space="preserve">Elaboración de Auxiliares Estándar de Proyectos de Inversión </t>
  </si>
  <si>
    <t>Seguimiento e implementación de medidas correctivas derivados de Exámenes especiales realizado por la  Oficina Regional de Control Institucional</t>
  </si>
  <si>
    <t>Registros auxiliares</t>
  </si>
  <si>
    <t>Seminarios, talleres y similares organizados por la Sub Gerencia</t>
  </si>
  <si>
    <t>Mapeo</t>
  </si>
  <si>
    <t>1.1.4</t>
  </si>
  <si>
    <t>1.1.5</t>
  </si>
  <si>
    <t>2.1.3</t>
  </si>
  <si>
    <t>2.1.4</t>
  </si>
  <si>
    <t>2.1.5</t>
  </si>
  <si>
    <t>2.1.6</t>
  </si>
  <si>
    <t>Curso de voluntariado en emergencias y rehabilitación (Brigadas)</t>
  </si>
  <si>
    <t>Expediente Técnico</t>
  </si>
  <si>
    <t>Prevención y Mitigación de Desastres</t>
  </si>
  <si>
    <t>Mantenimiento</t>
  </si>
  <si>
    <t>Estudios de Pre inversión</t>
  </si>
  <si>
    <t>0035 GESTION SOSTENIBLE DE RECURSOS NATURALES Y DIVERSIDAD BIOLOGICA</t>
  </si>
  <si>
    <t>Contrato administrativo de servicios</t>
  </si>
  <si>
    <t>Acompañamiento en la gestión de Recursos Hídricos</t>
  </si>
  <si>
    <t xml:space="preserve">Promover la participación de las comunidades campesinas y autoridades competentes en la remediación de Pasivos Ambientales </t>
  </si>
  <si>
    <t>Monitoreo de Calidad de Agua Superficial y consumo humano en la Ciudad de Cajamarca</t>
  </si>
  <si>
    <t>Reparación y mantenimiento de equipos de monitoreo de calidad ambiental</t>
  </si>
  <si>
    <t>Gestión y operación  del Consejos de Recursos Hídricos Chancay – Lambayeque</t>
  </si>
  <si>
    <t>Establecimiento de alianzas con SERNANP, con Municipalidades Provinciales, locales y con actores privados de bosques.</t>
  </si>
  <si>
    <t>Evento informativo Reducción de Emisiones de Carbono causadas por la Deforestación y la Degradación de los Bosques – REDD</t>
  </si>
  <si>
    <t>Fortalecimiento para la forestación y reforestación con especies nativas y exóticas en la zona de Chirinos, San Ignacio</t>
  </si>
  <si>
    <t>San Marcos</t>
  </si>
  <si>
    <t>Materiales</t>
  </si>
  <si>
    <t>Consultoría de Indicadores Ambientales</t>
  </si>
  <si>
    <t xml:space="preserve">Materiales para Mapeo cartográfico ambiental </t>
  </si>
  <si>
    <t>Consultoría Investigación en recursos naturales</t>
  </si>
  <si>
    <t>Implementación del FOBIRAJ (consultorías: Reglamento, Marco Económico Financiero)</t>
  </si>
  <si>
    <t>Levantamiento de observaciones al expediente Declaratoria Sito RAMSAR Lagunas de Alto Perú, San Cirilo y Yanacanchilla, y difusión de propuesta</t>
  </si>
  <si>
    <t>Mapeo de Actores y Áreas a nivel regional interesados en la conservación privada y otras modalidades de conservación.
Sistematización de información existente relacionada a Recursos Genéticos.
Propuesta para la elaboración de Mecanismos de Compensación por Servicios Ambientales.</t>
  </si>
  <si>
    <t>7.1.1</t>
  </si>
  <si>
    <t xml:space="preserve">Solicitar al Ministerio del Medio Ambiente priorizar a la cuenca del Río Llaucán para la elaboración del Diagnóstico Ambiental </t>
  </si>
  <si>
    <t>UNIDAD FORMULADORA DE GERENCIA REGIONAL DE INFRAESTRUCTURA</t>
  </si>
  <si>
    <t>Comité</t>
  </si>
  <si>
    <t>Elaboración</t>
  </si>
  <si>
    <t>Elaboración de Perfil</t>
  </si>
  <si>
    <t>Autorización</t>
  </si>
  <si>
    <t>San Miguel</t>
  </si>
  <si>
    <t>Servicio</t>
  </si>
  <si>
    <t>Recuperación del Servicio Ambiental Hídrico del Área de Amortiguamiento del Bosque de Protección Pagaibamba, distrito de Querocoto, provincia de Chota, región de Cajamarca</t>
  </si>
  <si>
    <t>Contribuciones a ESSalud</t>
  </si>
  <si>
    <t>Implementación</t>
  </si>
  <si>
    <t>Monitoreo</t>
  </si>
  <si>
    <t>Provincial</t>
  </si>
  <si>
    <t>DIRECCIÓN REGIONAL DE AGRICULTURA</t>
  </si>
  <si>
    <t>Personal Capacitado</t>
  </si>
  <si>
    <t>7</t>
  </si>
  <si>
    <t>12</t>
  </si>
  <si>
    <t>% AVANCE</t>
  </si>
  <si>
    <t>EJECUTADO</t>
  </si>
  <si>
    <t>PIM(S/.)</t>
  </si>
  <si>
    <t>Capacitación en Estrategias Metodológicas de Lectura, Escritura y Matemática</t>
  </si>
  <si>
    <t>Liquidación del Proyecto</t>
  </si>
  <si>
    <t>Administración del proyecto</t>
  </si>
  <si>
    <t>Planificación, gestión, coordinación y supervisión   (administrativa)</t>
  </si>
  <si>
    <t>Servicios (PERSONAL CAS)</t>
  </si>
  <si>
    <t>Adquisición de papelería en general, utiles y materiales de escritorio.</t>
  </si>
  <si>
    <t>Adquisiciones</t>
  </si>
  <si>
    <t>Adquisición de materiales de aseo y limpieza.</t>
  </si>
  <si>
    <t>Comisiónes  (Gastos imprevistos)</t>
  </si>
  <si>
    <t>Comisión</t>
  </si>
  <si>
    <t>Pasajes (Gastos imprevistos)</t>
  </si>
  <si>
    <t>Seguimiento, monitoreo y acompañamiento a las Unidades Ejecutoras  (UGELs) y a los proyectos de inversión.</t>
  </si>
  <si>
    <t>Comisiones  a nivel regional</t>
  </si>
  <si>
    <t>Adquisición</t>
  </si>
  <si>
    <t>Acompañamiento a la ejecución de los programas Presupuestales a través de reuniones técnicas</t>
  </si>
  <si>
    <t>Comisiones a nivel regional</t>
  </si>
  <si>
    <t>Contratación de consultor del FED</t>
  </si>
  <si>
    <t xml:space="preserve">Intercambio de experiencias culturales </t>
  </si>
  <si>
    <t>Encuentro</t>
  </si>
  <si>
    <t>Fortalecer las capacidades de gestión de las comunidades campesinas y rondas campesinas de la región</t>
  </si>
  <si>
    <t>Pasajes para la coordinación y realización de talleres</t>
  </si>
  <si>
    <t>Promoción y fortalecimiento cultural de las comunidades nativas de la región Cajamarca</t>
  </si>
  <si>
    <t>Pasajes a la zona de las comunidades nativas</t>
  </si>
  <si>
    <t>Comisión para las reuniones con las comunidades Awajun para la implementación de su Plan Concertado de Desarrollo.</t>
  </si>
  <si>
    <t>PROGRAMACIÓN y EJECUCIÓN FÍSICA</t>
  </si>
  <si>
    <t>PROGRAMACIÓN Y EJECUCIÓN FINANCIERA</t>
  </si>
  <si>
    <t>Supervisión y Liquidación</t>
  </si>
  <si>
    <t>Manejo y aplicación adecuada de estrategias de aprendizaje por los docentes</t>
  </si>
  <si>
    <t>TOTAL OBJETIVO ESTRATÉGICO ESPECÍFICO 1.1===&gt;</t>
  </si>
  <si>
    <t>Alimentación (desayuno almuerzo y cena) para 90 personas por 04 días</t>
  </si>
  <si>
    <t xml:space="preserve">Contratación CAS y contribuciones a ESSALUD </t>
  </si>
  <si>
    <t>Adquisición de repuestos y accesorios para equipos de oficina.</t>
  </si>
  <si>
    <t>Institucion Educativa</t>
  </si>
  <si>
    <t>Acompañamiento pedagogico a II.EE.  Multiedad de II Ciclo de EBR</t>
  </si>
  <si>
    <t>Desarrollo de la promoción escolar, cultura y deporte</t>
  </si>
  <si>
    <t>ACTIVIDADES DE LAS UNIDADES DE GESTIÓN EDUCATIVA LOCALES</t>
  </si>
  <si>
    <t>Dirección y asesoramiento</t>
  </si>
  <si>
    <t>Unidad de costeo</t>
  </si>
  <si>
    <t>Pago de remuneraciones al personal administrativo</t>
  </si>
  <si>
    <t>Acción administrativa</t>
  </si>
  <si>
    <t>Adquisición de activos no financieros</t>
  </si>
  <si>
    <t>Acciones administrativa de la Sede</t>
  </si>
  <si>
    <t>Gestión de redes educativas</t>
  </si>
  <si>
    <t>II.EE.</t>
  </si>
  <si>
    <t>Capacitación a docentes</t>
  </si>
  <si>
    <t>Supervisión y monitoreo</t>
  </si>
  <si>
    <t>Visita a docente</t>
  </si>
  <si>
    <t>Visita a I.E.</t>
  </si>
  <si>
    <t>Concursos para la promoción de la educación</t>
  </si>
  <si>
    <t>Campañas de difusión</t>
  </si>
  <si>
    <t>Campañas</t>
  </si>
  <si>
    <t>Pago a CAS</t>
  </si>
  <si>
    <t>Investigación e Innovación Educativa</t>
  </si>
  <si>
    <t>Concurso</t>
  </si>
  <si>
    <t>Desarrollo de la Promoción Escolar, Cultura y Deporte</t>
  </si>
  <si>
    <t>II.EE</t>
  </si>
  <si>
    <t>Promotores</t>
  </si>
  <si>
    <t>Alumno</t>
  </si>
  <si>
    <t>Kit Núcleo</t>
  </si>
  <si>
    <t>Acompañamiento pedagógico a docentes en aula</t>
  </si>
  <si>
    <t>Institución Educativa Inicial</t>
  </si>
  <si>
    <t>Formador</t>
  </si>
  <si>
    <t>Acompañante</t>
  </si>
  <si>
    <t>Docente Acompañado</t>
  </si>
  <si>
    <t>Micro talleres</t>
  </si>
  <si>
    <t>Docentes Capacitados</t>
  </si>
  <si>
    <t>Desarrollo de la educación especial</t>
  </si>
  <si>
    <t>Horas lectivas</t>
  </si>
  <si>
    <t>Docente Capacitado</t>
  </si>
  <si>
    <t>Desarrollo de la educación laboral y técnica</t>
  </si>
  <si>
    <t>Desarrollo de la educación pre escolar</t>
  </si>
  <si>
    <t>PRONOEI</t>
  </si>
  <si>
    <t>Jardín</t>
  </si>
  <si>
    <t>Cuna</t>
  </si>
  <si>
    <t>Ludoteca</t>
  </si>
  <si>
    <t>PRITES</t>
  </si>
  <si>
    <t>PIESBA</t>
  </si>
  <si>
    <t>Desarrollo de la educación primaria de adultos</t>
  </si>
  <si>
    <t>Desarrollo de la educación secundaria de adultos</t>
  </si>
  <si>
    <t>Desarrollo del ciclo avanzando de la educación básica alternativa</t>
  </si>
  <si>
    <t>Desarrollo del ciclo inicial de la educación básica alternativa</t>
  </si>
  <si>
    <t>Cesante</t>
  </si>
  <si>
    <t>Saneamiento físico y legal de los terrenos para servicios de educación inicial</t>
  </si>
  <si>
    <t>Terreno Saneado</t>
  </si>
  <si>
    <t>Saneamiento físico y legal de los terrenos para instituciones educativas nuevas de educación secundaria</t>
  </si>
  <si>
    <t>Gestión de expedientes técnicos para la generación de nuevas plazas docentes en Educación Inicial</t>
  </si>
  <si>
    <t>Plaza Docente</t>
  </si>
  <si>
    <t>Gestión de expedientes técnicos para la generación de nuevas plazas docentes en Educación Secundaria</t>
  </si>
  <si>
    <t xml:space="preserve">Contratación oportuna y pago de personal de las I.E. de II ciclo de Educación Básica Regular                                </t>
  </si>
  <si>
    <t>Coordinadoras</t>
  </si>
  <si>
    <t>Promotoras</t>
  </si>
  <si>
    <t>Contratación oportuna y pago de personal de las I.E. de Educación Primaria</t>
  </si>
  <si>
    <t>Estudiantes</t>
  </si>
  <si>
    <t>Contratación oportuna y pago de personal de las I.E. de Educación Secundaria</t>
  </si>
  <si>
    <t>Locales escolares de I.E de II ciclo de educación básica regular con condiciones adecuadas para su funcionamiento</t>
  </si>
  <si>
    <t>Locales escolares de I.E de inicial con condiciones adecuadas para su funcionamiento</t>
  </si>
  <si>
    <t>Locales escolares de I.E de primaria con condiciones adecuadas para su funcionamiento</t>
  </si>
  <si>
    <t>Locales escolares de I.E. de secundaria con condiciones adecuadas para su funcionamiento</t>
  </si>
  <si>
    <t>Gestión del currículo de II ciclo de educación básica regular</t>
  </si>
  <si>
    <t>Gestión del currículo de primaria</t>
  </si>
  <si>
    <t>Gestión del currículo de secundaria</t>
  </si>
  <si>
    <t>Acompañamiento pedagógico a I.E. multiedad del II ciclo de Educación Básica Regular</t>
  </si>
  <si>
    <t>Acompañamiento pedagógico a I.E. multigrado de Primaria</t>
  </si>
  <si>
    <t>Dotación de material educativo para estudiantes de II ciclo de Educación Básica Regular de I.E.</t>
  </si>
  <si>
    <t>Kit por Alumno</t>
  </si>
  <si>
    <t>Aula</t>
  </si>
  <si>
    <t>Dotación de material educativo para estudiantes de primaria de I.E.</t>
  </si>
  <si>
    <t>Dotación de material educativo para estudiantes de secundaria de I.E.</t>
  </si>
  <si>
    <t>Dotación de material educativo para aulas de primaria</t>
  </si>
  <si>
    <t>Dotación de material fungible para aulas de II ciclo de Educación Básica Regular (PELA)</t>
  </si>
  <si>
    <t>Dotación de material fungible para aulas de primaria</t>
  </si>
  <si>
    <t>Dotación de material educativo para I.E. secundarias</t>
  </si>
  <si>
    <t>Mantenimiento y acondicionamiento de espacios en locales de los Centros de educación básica especial y centros de recursos</t>
  </si>
  <si>
    <t>Local</t>
  </si>
  <si>
    <t>Contratación oportuna y pago de personal para atención de centros de educación básica especial</t>
  </si>
  <si>
    <t>Mantenimiento y Acondicionamiento de Espacios en Programas de Intervención Temprana</t>
  </si>
  <si>
    <t>Contratación oportuna y pago de personal  para atención de programas de intervención temprana</t>
  </si>
  <si>
    <t>Soporte Pedagógico</t>
  </si>
  <si>
    <t>Institución
Educativa</t>
  </si>
  <si>
    <t>Gestión del currículo de II ciclo de Educación Básica Regular</t>
  </si>
  <si>
    <t xml:space="preserve">Docente </t>
  </si>
  <si>
    <t>Comisión de coordinación y participació en eventos a nivel regional</t>
  </si>
  <si>
    <t>Contratacion oportuna y pago de personal de las II.EE. de II Ciclo</t>
  </si>
  <si>
    <t>Contratacion oportuna y pago de personal de las II.EE. de Primaria</t>
  </si>
  <si>
    <t>Acompañamiento pedagógico a II.EE.  Multigrado de Primaria</t>
  </si>
  <si>
    <t>Fomacion y certificación de formadores</t>
  </si>
  <si>
    <t>Kit por aula</t>
  </si>
  <si>
    <t>Kit por Aula</t>
  </si>
  <si>
    <t>Dotación de material educativo para I.E. Primaria</t>
  </si>
  <si>
    <t>Desarrollo de la Educación Secundaria</t>
  </si>
  <si>
    <t>Equipamiento Sede Institucional</t>
  </si>
  <si>
    <t>Formación y Certificación de  Formadores</t>
  </si>
  <si>
    <t>Incremento de Hemeroteca</t>
  </si>
  <si>
    <t>Periódico</t>
  </si>
  <si>
    <t>Supervisión de Archivos</t>
  </si>
  <si>
    <t>Institución</t>
  </si>
  <si>
    <t>Transferencia Documental</t>
  </si>
  <si>
    <t>-</t>
  </si>
  <si>
    <t>Capacitación Archivística</t>
  </si>
  <si>
    <t>Gestión, construcción del local Expediente técnico  SNIP.</t>
  </si>
  <si>
    <t>Archivo Histórico</t>
  </si>
  <si>
    <t>Exposiciones</t>
  </si>
  <si>
    <t>Ciudadano</t>
  </si>
  <si>
    <t>Limpieza documental</t>
  </si>
  <si>
    <t>Administración presupuestal</t>
  </si>
  <si>
    <t xml:space="preserve"> Archivo Administrativo</t>
  </si>
  <si>
    <t>Expedición certificaciones notariales</t>
  </si>
  <si>
    <t>Atención a investigadores</t>
  </si>
  <si>
    <t>Colocación de membretes y catones</t>
  </si>
  <si>
    <t>I.E. (07 Instituciones)</t>
  </si>
  <si>
    <t xml:space="preserve">SUB GERENCIA DE SUPERVISIÓN Y LIQUIDACIÓN -PROYECTOS </t>
  </si>
  <si>
    <t>2191137: Mejoramiento de los servicios de educación inicial escolarizada en las localidades de Corobamba, Pingo, Moyán Alto, Sarín, Santa Rosa de Crisnejas, Santa Rosa de Jocos y Jocos, provincia de Cajabamba, Región Cajamarca.</t>
  </si>
  <si>
    <t>GERENCIA SUB REGIONAL CHOTA - PROYECTOS</t>
  </si>
  <si>
    <t>Construcción y Equipamiento de la Institución Educativa Nº 82696 La Hualanga - Bambamarca, Provincia Hualgayoc - Cajamarca</t>
  </si>
  <si>
    <t>Construcción y Equipamiento de la Institución Educativa Nº 10985 Machaypundo Alto - Bambamarca</t>
  </si>
  <si>
    <t>Obra</t>
  </si>
  <si>
    <t>Creación de los Servicios Educativos en la I.E.Inicial Nº 360 CP. Cutaxi, distrito de Conchán, Provincia Chota - Cajamarca</t>
  </si>
  <si>
    <t>Creación de la infraestructura Educativa para el PRONOEI CP. Pencaloma, Distrito Conchan, Provincia de Chota - Cajamarca</t>
  </si>
  <si>
    <t xml:space="preserve">Reconstrucción y equipamiento de la institución educativa secundaria 22 de octubre Urcurume - Cutervo, provincia de Cutervo - Cajamarca   </t>
  </si>
  <si>
    <t>Mejoramiento de los Servicios de Educación inicial Escolarizada, en las localidades de Cedropampa, Miraflores, Valle Grande, Gramalotillo, Contulián, El Arenal, La Jayua y Casa Hogar de María Provincia de Cutervo, Región Cajamarca</t>
  </si>
  <si>
    <t>Mejoramiento del servicio educativo N° 10310 de la localidad de Lluscapampa, distrito de La Ramada - Cutervo - Cajamarca</t>
  </si>
  <si>
    <t>Ampliación, mejoramiento del servicios educativo de la I.E. Manuel Pardo y La Valle, C.P. Pampa La Rioja, Distrito de Sócota - Cutervo - Cajamarca</t>
  </si>
  <si>
    <t>Mejoramiento de las condiciones del servicios de educación secundaria en la institución educativa secundaria Carlos Matta Rivera del Centro Poblado de Mamabamba, distrito y provincia de Cutervo Departamento de Cajamarca</t>
  </si>
  <si>
    <t>Módulo 01: que cuenta con  cuatro (4) aulas en el primer nivel, 4 aulas, 4 aulas en el segundo nivel y laboratorios de ciencia y cómputo en el tercer nivel.</t>
  </si>
  <si>
    <t>Cisterna de Tanque elevado</t>
  </si>
  <si>
    <t>Metros lineales de muro de contención</t>
  </si>
  <si>
    <t>Mejoramiento y ampliación de los servicios de educación de C.E.I. N° 518 de la localidad Choloque, distrito Toribio Casanova, provincia de Cutervo Cajamarca</t>
  </si>
  <si>
    <t>Mejoramiento ampliación y equipamiento de I.E.S.M San José Obrero del Centro Poblado Tambillo, distrito de Santo Tomás- Cutervo-Cajamarca</t>
  </si>
  <si>
    <t>Instalación del Servicio Educativo Escolarizado nivel inicial en las localidades de Sallof, Chontas, San Vicente de Palmo, Laguna Shita y Muñuño de la Provincia de Cutervo</t>
  </si>
  <si>
    <t>Instalación del Servicio Educativo Escolarizado nivel inicial en las localidades de Viluco, Pabellón, El Puquio, Nuevo Porvenir, Los Alisos y Colpa de la Provincia de Cutervo</t>
  </si>
  <si>
    <t>GERENCIA SUB REGIONAL CUTERVO - PROYECTOS</t>
  </si>
  <si>
    <t>Mejoramiento de los servicios educativos del complejo educativo (inicial, primaria y secundaria) en el poblado de Panamá, distrito de Pimpingos, provincia de Cutervo, Región Cajamarca</t>
  </si>
  <si>
    <r>
      <rPr>
        <b/>
        <sz val="10"/>
        <color theme="1"/>
        <rFont val="Calibri"/>
        <family val="2"/>
        <scheme val="minor"/>
      </rPr>
      <t>OBJETIVO ESTRATÉGICO GENERAL DEL PEI       :</t>
    </r>
    <r>
      <rPr>
        <sz val="10"/>
        <color theme="1"/>
        <rFont val="Calibri"/>
        <family val="2"/>
        <scheme val="minor"/>
      </rPr>
      <t xml:space="preserve">  1. La Población del departamento de Cajamarca, principalmente en condición de pobreza y vulnerable, accede a servicios sociales básicos de calidad e igualdad de oportunidades.</t>
    </r>
  </si>
  <si>
    <t>Mejoramiento de las condiciones del Servicio de Educación Secundaria en las I.E.S Ciro Bazán, C.P. Huayrasitana, DIstrito de Chalamarca, Provincia Chota - Cajamarca</t>
  </si>
  <si>
    <t>SEDE REGIONAL -GERENCIA REGIONAL DE INFRAESTRUCTURA</t>
  </si>
  <si>
    <t>CONSOLIDADO DE LAS UNIDADES DE GESTIÓN EDUCATIVA LOCALES</t>
  </si>
  <si>
    <t>DIRECCIÓN REGIONAL DE EDUCACIÓN CAJAMARCA</t>
  </si>
  <si>
    <t>Reposición Infraestructura IEPS  Nº 16006 Cristo Rey Fila Alta</t>
  </si>
  <si>
    <t>Reconstrucción y mejoramiento de Infraestructura IE Nº 16907 Cristo Rey Saucepampa</t>
  </si>
  <si>
    <t>Reposición de aulas y servicios higiénicos C.E.I.P.S N° 16512 Cesara</t>
  </si>
  <si>
    <t>Reposición Infraestructura CE N° 16188 Pakamuros-Puentecillos</t>
  </si>
  <si>
    <t>Reconstrucciòn infraestruct.IE.Nº16036 Alfonzo Arana Vidal</t>
  </si>
  <si>
    <t>Construcción infraestructura IEP Nº 16625 Alto Tambillo</t>
  </si>
  <si>
    <t>Reconstruccion infraestruc. IE Nº 16151 Ntra Señora Carmen Piquijaca</t>
  </si>
  <si>
    <t>Reposición Infraestructura IE Nº 16053 Ambato Bellavista</t>
  </si>
  <si>
    <t>I.E</t>
  </si>
  <si>
    <t>Mejoramiento del servicio de educación primaria y secundaria en la I.E N° 16072 Jorge Basadre Valillo, en el distrito de Jaén, provincia de Jaén departamento de Cajamarca.</t>
  </si>
  <si>
    <t>Mejoramiento del servicio educativo en le I.E 16093- José Gálvez de Chunchuquillo, distrito de Colasay-Jaén-Cajamarca</t>
  </si>
  <si>
    <t>Reconstrucción ampliación infraestructura IE Nº 16076 José María Arguedas distrito de Bellavista</t>
  </si>
  <si>
    <t>Instalación de los servicios de los centros de Recursos para el aprendizaje en las redes educativas de Supayaku y los Naranjos en la provincia de San Ignacio- Región Cajamarca</t>
  </si>
  <si>
    <t>Acciones administrativas</t>
  </si>
  <si>
    <t>ACTIVIDADES DE LA DIRECCIÓN DE ARCHIVO REGIONAL</t>
  </si>
  <si>
    <r>
      <rPr>
        <b/>
        <sz val="10"/>
        <color theme="1"/>
        <rFont val="Calibri"/>
        <family val="2"/>
        <scheme val="minor"/>
      </rPr>
      <t>OBJETIVO ESTRATÉGICO GENERAL     :</t>
    </r>
    <r>
      <rPr>
        <sz val="10"/>
        <color theme="1"/>
        <rFont val="Calibri"/>
        <family val="2"/>
        <scheme val="minor"/>
      </rPr>
      <t xml:space="preserve">  1. La Población del departamento de Cajamarca, principalmente en condición de pobreza y vulnerable, accede a servicios sociales básicos de calidad e igualdad de oportunidades.</t>
    </r>
  </si>
  <si>
    <t>SUB GERENCIA DE ASUNTOS POBLACIONALES</t>
  </si>
  <si>
    <t>Formulación y ejecución del POA 2015 de la Sub Gerencia de Asuntos Poblacionales</t>
  </si>
  <si>
    <t>RESULTADO 2: Asistencia Técnica a Gobiernos Locales - Gobierno Regional en Políticas Regionales de Población</t>
  </si>
  <si>
    <t>Reunión de trabajo</t>
  </si>
  <si>
    <t>Monitoreo permanente de indicadores a nivel de sectores y gobiernos locales.</t>
  </si>
  <si>
    <t>5.8.</t>
  </si>
  <si>
    <t>Organizar evento de Encuentro de Organizaciones de base femeninas para la implementación de la Vigilancia Comunitaria en Salud en el Marco del día Internacional de la Mujer</t>
  </si>
  <si>
    <t>Foro</t>
  </si>
  <si>
    <t>Organizar eventos de vigilancia comunitaria con organizaciones de base en el marco de prioridades regionales</t>
  </si>
  <si>
    <t>Acompañamiento a los procesos de participación y articulación en función a las prioridades sanitarias regionales (Consejo Regional de Salud, Consejo Regional de Pregrado en Salud)</t>
  </si>
  <si>
    <t>Reuniones técnicas con DIRESA y UE para la revisión y actualización de documentos técnico normativos.</t>
  </si>
  <si>
    <t>Elaboración de informes técnicos para iniciativa de ordenanza regional a favor de la salud materna, perinatal y neonatal.</t>
  </si>
  <si>
    <t>Informe/Evaluación</t>
  </si>
  <si>
    <t>Elaboración del plan de monitoreo y evaluación de los indicadores del Programa de Salud Materno Neonatal, de las Direcciones Sub Regionales de Salud en coordinación con DIRESA.</t>
  </si>
  <si>
    <t>Reuniones técnicas de seguimiento y evaluación a la implementación de proyectos de Inversión Pública en Salud Materna  Infantil.</t>
  </si>
  <si>
    <t>Jornadas de capacitación con enfoque de género a funcionarios y equipo técnico de salud y educación, contando como base con el documento de brechas de género</t>
  </si>
  <si>
    <t>Pasantías al interior del país para el intercambio de experiencias exitosas en concertación, articulación y desarrollo de tecnologías en DESNUTRICIÓN CRÓNICA INFANTIL - DCI</t>
  </si>
  <si>
    <t>Contrato CAS</t>
  </si>
  <si>
    <t>Contribuciones a ESSALUD</t>
  </si>
  <si>
    <t>Implementar participativa y concertadamente el Plan de Supervisión y evaluación a Equipos Técnicos de las UE, en torno a Convenios de Apoyo Presupuestario y Convenio de Intercambio Prestacional.</t>
  </si>
  <si>
    <t xml:space="preserve">Reuniones de Coordinación con JUNTOS, RENIEC, UDR-SIS, Gobiernos Locales. </t>
  </si>
  <si>
    <t>Visitas de Monitoreo a la Implementación del Plan Regional de Población en Gobiernos Locales y Direcciones Sub Regionales de Salud y Educación.</t>
  </si>
  <si>
    <t>Reunión de socialización de los resultados de la evaluación a GL y Direcciones Sub Regionales de Salud y Educación, sobre la implementación del Plan Regional de Población.</t>
  </si>
  <si>
    <t>Capacitación continua a Funcionarios de Gobiernos Locales, mediante Asistencia Técnica en reuniones de trabajo con las Gerencias Regionales y Sub Regionales, ejecutoras de salud y educación para la identificación de proyectos en el Marco del Programa Regional de Población con asistencia técnica del MIMPV.</t>
  </si>
  <si>
    <t>RESULTADO 3: Los Equipos Técnicos de los sectores Salud - Educación y Unidad Formuladora, han fortalecido sus capacidades y aprovechan las oportunidades para acceder a mejoras en su institución.</t>
  </si>
  <si>
    <t>Reuniones de concertación con medios de comunicación locales y regionales, para sensibilizar e informar a la población sobre la salud sexual, reproductiva y la planificación familiar.</t>
  </si>
  <si>
    <t xml:space="preserve">RESULTADO 4: Espacios de coordinación interinstitucional, participación ciudadana y los sistemas de vigilancia comunal, que facilita la presentación de Proyectos a la Cooperación Internacional. </t>
  </si>
  <si>
    <t>Reuniones con cooperantes internacionales para establecer alianzas estratégicas en el marco de la desnutrición crónica infantil.</t>
  </si>
  <si>
    <t>Contrato de Personal</t>
  </si>
  <si>
    <t>TOTAL OBJETIVO ESTRATÉGICO ESPECÍFICO 1.2===&gt;</t>
  </si>
  <si>
    <t>RESULTADO 01: Gestión Permanente</t>
  </si>
  <si>
    <t xml:space="preserve">ACTIVIDAD DE PROTECCIÓN SOCIAL </t>
  </si>
  <si>
    <t>Elaboración de perfil técnico para la construcción del centro de atención residencial para las personas adultas mayores - CARPAM</t>
  </si>
  <si>
    <t>Perfil Proyecto</t>
  </si>
  <si>
    <t xml:space="preserve">Realizar encuentros  regionales y  provinciales de jóvenes </t>
  </si>
  <si>
    <t xml:space="preserve">Resultado 04: Incorporación del Enfoque de Género en la Gestión pública a nivel regional </t>
  </si>
  <si>
    <t>Fortalecimiento de los espacios de concertación en temas poblacionales e igualdad de oportunidades a través de propuesta de ordenazas regionales</t>
  </si>
  <si>
    <t xml:space="preserve">Actas e Informes </t>
  </si>
  <si>
    <t xml:space="preserve">Fortalecimiento de capacidades a GL en temas de igualdad de oportunidades entre varones y mujeres en los distintos grupos poblacionales (Violencia Familiar y sexual , equidad de género  creación de CIAMs) </t>
  </si>
  <si>
    <t>Capacitación  a las  autoridades organizaciones sociales de defensa y promotores de justicia  en temas  de trata de personas  para garantizar una intervención adecuada (priorizando zona de frontera)</t>
  </si>
  <si>
    <t xml:space="preserve">Resultado 07: Niños y Niñas cuentan con Documento de Identidad  a nivel Regional </t>
  </si>
  <si>
    <t xml:space="preserve">Resultado 08: Mejorar  el bienestar físico, psocológico y social de laspersonas adultas mayores. </t>
  </si>
  <si>
    <t>Campaña integral de Salud dirigido a poblaciones vulnerables</t>
  </si>
  <si>
    <r>
      <rPr>
        <b/>
        <sz val="10"/>
        <color theme="1"/>
        <rFont val="Calibri"/>
        <family val="2"/>
        <scheme val="minor"/>
      </rPr>
      <t>Resultado 03</t>
    </r>
    <r>
      <rPr>
        <sz val="10"/>
        <color theme="1"/>
        <rFont val="Calibri"/>
        <family val="2"/>
        <scheme val="minor"/>
      </rPr>
      <t xml:space="preserve">:Inserción de jóvenes en la implementación de la pólitica de voluntariado </t>
    </r>
  </si>
  <si>
    <t xml:space="preserve">Taller/ informe </t>
  </si>
  <si>
    <t xml:space="preserve">Resultado 01:Gobiernos Locales formulan   documentos  de política regional  en materia de población. </t>
  </si>
  <si>
    <t xml:space="preserve">ACTIVIDADES DE PROMOCIÓN SOCIAL </t>
  </si>
  <si>
    <t xml:space="preserve">Aprobación e implementación del Plan Regional de Voluntariado Juvenil </t>
  </si>
  <si>
    <t>Fortalecimiento de capacidades a los Centros de Atención Residencial para niños y niñas - CARs</t>
  </si>
  <si>
    <t>Monitoreo y verificación del funcionamiento  de las Defensorías  Municipales  del niño, niña y adolescente</t>
  </si>
  <si>
    <t>Resultado 06: Centros de Atención Residencial- CAR y  defensorías municipales- DEMUNA  de NNA, fortalecidos en el marco del "Plan de Incentivos a la Mejora de la Gestión Municipal (PI)".</t>
  </si>
  <si>
    <t>SEDE REGIONAL INFRAESTRUCTURA-SUB GERENCIA DE OPERACIONES</t>
  </si>
  <si>
    <t>Construcción Centro Materno Infantil San Marcos (Obra complementaria: sistema de utilización en 10 kv)</t>
  </si>
  <si>
    <t>Construcción y equipamiento Hospital Santa María Nivel II-1, provincia de Cutervo departamento de Cajamarca</t>
  </si>
  <si>
    <t>Implementación del plan de desarrollo de capacidades de autogestión para fortalecer capacidades de las organizaciones comunales de 34 distritos.</t>
  </si>
  <si>
    <t>Mejoramiento de los servicios de salud en el puesto de salud el Porvenir en el caserío el Porvenir, distrito de San José del Alto-Jaén-Cajamarca</t>
  </si>
  <si>
    <t>Puesto de Salud</t>
  </si>
  <si>
    <t>Hospital</t>
  </si>
  <si>
    <t>Exp. Técnico</t>
  </si>
  <si>
    <t>PROGRAMAS REGIONALES-PROREGION</t>
  </si>
  <si>
    <t>2107890 Construcción e implementación del Hospital  II-1 de Cajabamba</t>
  </si>
  <si>
    <t>2113029  Construcción e implementación del Hospital  II-2 de Jaén</t>
  </si>
  <si>
    <t>2144019 Construcción e implementación del Hopital II-1 de San Ignacio</t>
  </si>
  <si>
    <t>DIRECCIÓN REGIONAL DE SALUD CAJAMARCA</t>
  </si>
  <si>
    <t>Programa Articulado Nacional</t>
  </si>
  <si>
    <t>Norma</t>
  </si>
  <si>
    <t>Municipio</t>
  </si>
  <si>
    <t>Niño Protegido</t>
  </si>
  <si>
    <t>Niño Controlado</t>
  </si>
  <si>
    <t>Niño Suplementado</t>
  </si>
  <si>
    <t>Reporte Tecnico</t>
  </si>
  <si>
    <t>Centro Poblado</t>
  </si>
  <si>
    <t>Caso Tratado</t>
  </si>
  <si>
    <t>Gestante Suplementada</t>
  </si>
  <si>
    <t>Gestante Controlada</t>
  </si>
  <si>
    <t>Pareja Protegida</t>
  </si>
  <si>
    <t>Atencion</t>
  </si>
  <si>
    <t>Gestante Atendida</t>
  </si>
  <si>
    <t>Parto Normal</t>
  </si>
  <si>
    <t>Parto Complicado</t>
  </si>
  <si>
    <t>Egreso</t>
  </si>
  <si>
    <t>Gestante y/o Neonato Referido</t>
  </si>
  <si>
    <t>Recien Nacido Atendido</t>
  </si>
  <si>
    <t>Persona Informada</t>
  </si>
  <si>
    <t>TBC-VIH/SIDA</t>
  </si>
  <si>
    <t>Persona Tratada</t>
  </si>
  <si>
    <t>Persona Atendida</t>
  </si>
  <si>
    <t>Persona Diagnosticada</t>
  </si>
  <si>
    <t>Trabajador Protegido</t>
  </si>
  <si>
    <t>Viviendas</t>
  </si>
  <si>
    <t>Animal Vacunado</t>
  </si>
  <si>
    <t>Persona Tamizada</t>
  </si>
  <si>
    <t>Prevención y Control del Cáncer</t>
  </si>
  <si>
    <t>Reducción de Vulnerabilidad y Atención de Emergencias por Desastres</t>
  </si>
  <si>
    <t>Establecimiento De Salud</t>
  </si>
  <si>
    <t>Paciente Atendido</t>
  </si>
  <si>
    <t>Programa Salud Mental</t>
  </si>
  <si>
    <t>Acciones Centrales</t>
  </si>
  <si>
    <t>Accion</t>
  </si>
  <si>
    <t>Examen</t>
  </si>
  <si>
    <t>Receta</t>
  </si>
  <si>
    <t>Reducción de la Mortalidad por Emergencias y Urgencias Médicas</t>
  </si>
  <si>
    <t>Salud Materno Neonatal</t>
  </si>
  <si>
    <t>SEDE REGIONAL GERENCIA REGIONAL DE INFRAESTRUCTURA- SUB GERENCIA DE OPERACIONES</t>
  </si>
  <si>
    <t>2144559 Construcción del Sistema de Agua Potable y letrinas - caseríos Tumbadén Grande, Vista Alegre y Chacapampa, distrito de Tumbadén - San Pablo - Cajamarca</t>
  </si>
  <si>
    <t>PROGRAMAS REGIONALES -PROREGION</t>
  </si>
  <si>
    <t>2088787. Mejoramiento y ampliación de los sistemas de agua potable y alcantarillado de la ciudad de Celendín</t>
  </si>
  <si>
    <t>Conexiones</t>
  </si>
  <si>
    <t>TOTAL OBJETIVO ESTRATÉGICO ESPECÍFICO 1.3===&gt;</t>
  </si>
  <si>
    <t>2088792 Mejoramiento y ampliación de los sistemas de agua potable y alcantarillado  de la ciudad de Cajabamba.</t>
  </si>
  <si>
    <t>2088793 Mejoramiento y ampliación de los sistemas de agua potable y alcantarillado  de la ciudad de Jaén</t>
  </si>
  <si>
    <t>2088790 Mejoramiento y ampliación de los sistemas de agua potable y alcantarillado  de la ciudad de San Marcos</t>
  </si>
  <si>
    <t>2088789 Mejoramiento y ampliación de los servicios  de agua potable y alcantarillado, tratamiento y disposición de excretas de Bambamarca, Hualgayoc.</t>
  </si>
  <si>
    <t>2088788 Mejoramiento y ampliación de los sistemas de agua potable y alcantarillado de la ciudad de San Miguel</t>
  </si>
  <si>
    <t>2088785 Mejoramiento y ampliación de los sistemas de agua potable y alcantarillado  de la ciudad de Chota</t>
  </si>
  <si>
    <t>2088783 Mejoramiento y ampliación de los sistemas de agua potable y alcantarillado  de la ciudad de Hulagayoc.</t>
  </si>
  <si>
    <t>2088782 Mejoramiento y ampliación de los sistemas de agua potable y alcantarillado  de la ciudad de Contumazá</t>
  </si>
  <si>
    <t>2090973 Gestión del Programa y Otros - Mejoramiento y amopliación de los sistemas de3 agua potable alcantarillado y tratamiento de aguas residuales</t>
  </si>
  <si>
    <t>2234200 Instalación del sistema de alcantarillado de las zonas periféricas de la ciudad de Cajabamba - distrito y provincia de Cajabamba.</t>
  </si>
  <si>
    <t>2088795 Mejoramiento y ampliación de los sistemas de agua potable y alcantarillado de la ciudad de San Pablo.</t>
  </si>
  <si>
    <t>2088794 Mejoramiento y ampliación de los sistemas de agua potable y alcantarillado  de la ciudad de Cutervo.</t>
  </si>
  <si>
    <t>2207756 Instalación de los servicios de agua potable y alcantarillado de la localidad de Linderos, del distrito de Jaén, provincia de Jaén- Cajamarca.</t>
  </si>
  <si>
    <t>Incentivar la participación de Promotores Privados de la zona en los Programas  de Vivienda</t>
  </si>
  <si>
    <t>Promoción, difusión, seguimiento y evaluación del Plan Regional de Saneamiento Integral y Políticas Públicas Regionales en Agua y Saneamiento.</t>
  </si>
  <si>
    <t>Fortalecimiento a Gobiernos Locales "JORAASFORGOL" (Jornadas Regionales de Asistencia y Fortalecimiento a Gobiernos Locales.</t>
  </si>
  <si>
    <t>Promoción, Consolidación y Seguimiento a las Áreas Técnicas de Saneamiento Municipal (ATSM) y del Sistema Informático Regional de Agua y Saneamiento (SIRAS)</t>
  </si>
  <si>
    <t>Coordinación , asesoramiento, aprobación de documentos técnico administrativos y de gestión de la Dirección Regional</t>
  </si>
  <si>
    <t>Documentos (Valores Arancelarios)</t>
  </si>
  <si>
    <t>GERENCIA REGIONAL DE DESARROLLO SOCIAL Y HUMANO</t>
  </si>
  <si>
    <t>SUB GERENCIA DESARROLLO SOCIAL Y HUMANO</t>
  </si>
  <si>
    <t>Actividad 1.4  Planificación de talleres de capacitación a personas con discapacidad en coordinación con las OMAPEDs de acuerdo a los requerimientos de la Dirección Regional de Trabajo y Dirección Regional .</t>
  </si>
  <si>
    <t>Resultado 3:Sectores del Gobierno Regional de Cajamarca realizan acciones de mejoramiento de los servicios a las personas con discapacidad</t>
  </si>
  <si>
    <t xml:space="preserve"> Capacitación </t>
  </si>
  <si>
    <t>Actividad 11.2 Supervisión de cumplimiento de la Ley N° 27050 Ley General de la Persona con Discapacidad en coordinación con las Direcciones Regionales.</t>
  </si>
  <si>
    <t>Programa de equino terpia para niños y niñas con discapacidad mental</t>
  </si>
  <si>
    <t>Adquisición de ayudas biomecánicas de ayudas (Silla de Ruedas )</t>
  </si>
  <si>
    <t>Donación</t>
  </si>
  <si>
    <t>Capacitación de médicos de la región en certificados de discapacidad</t>
  </si>
  <si>
    <r>
      <t xml:space="preserve">POLÍTICA PÚBLICA DEL GOBIERNO REGIONAL CAJAMARCA 2015-2018: </t>
    </r>
    <r>
      <rPr>
        <sz val="10"/>
        <color theme="1"/>
        <rFont val="Calibri"/>
        <family val="2"/>
        <scheme val="minor"/>
      </rPr>
      <t>1.3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Promover igualdad de oportunidaddes y desarrollo  de las personas con discapacidad y grupos sociales tradicionalmente excluidos.     </t>
    </r>
  </si>
  <si>
    <t>TOTAL OBJETIVO ESTRATÉGICO ESPECÍFICO 1.4===&gt;</t>
  </si>
  <si>
    <t xml:space="preserve">ALDEA INFANTIL - ACTIVIDADES </t>
  </si>
  <si>
    <t>Servicio Social al Albergado y familia del albergado (evaluación de problemática, desarrollo de actividades)</t>
  </si>
  <si>
    <t xml:space="preserve">Abordaje psicológico (evaluación y tamizaje terapias) </t>
  </si>
  <si>
    <t>Atenciones
Informes</t>
  </si>
  <si>
    <t xml:space="preserve">Atención integral en la salud y NUTRICION del albergado (aseguramiento, tramitación y atención) </t>
  </si>
  <si>
    <t>Formación y capacitación para dirección, equipo multidisciplinario, madres y tías sustitutas, personal administrativo.</t>
  </si>
  <si>
    <t>Gestión y desarrollo institucional (mantenimiento acreditación)</t>
  </si>
  <si>
    <t>Acciones
Informes</t>
  </si>
  <si>
    <t>Asesoría jurídica (defensa de casos, solución de conflictos legales, atención de escritos)</t>
  </si>
  <si>
    <t xml:space="preserve">Área educativa (monitoreo, supervisión, acompañamiento educativo, reforzamiento)  </t>
  </si>
  <si>
    <t xml:space="preserve">Área  recreativa(arte música, paseos, artes plásticas, ludo terapias)  </t>
  </si>
  <si>
    <t>Talleres  
Informes</t>
  </si>
  <si>
    <t>Plan nutricional</t>
  </si>
  <si>
    <t>Talleres internos para albergados</t>
  </si>
  <si>
    <t>Capacitaciones con el MIMP y JUZGADOS</t>
  </si>
  <si>
    <t>Manutención nutricional de los  albergados</t>
  </si>
  <si>
    <t xml:space="preserve">Servicios y atención que brinda el personal del CAR (CAS) </t>
  </si>
  <si>
    <t>Servicio y atención del personal nombrado</t>
  </si>
  <si>
    <t xml:space="preserve">Ventanilla Única de Promoción del Empleo - CENTRO DE EMPLEO </t>
  </si>
  <si>
    <t xml:space="preserve">Inscripción de personal en la bolsa de trabajo </t>
  </si>
  <si>
    <t>Afiches Temáticos 1/</t>
  </si>
  <si>
    <t>Seguimiento a la Economía Regional 1/</t>
  </si>
  <si>
    <t>Multas por infracciones a las Normas Socio laborales</t>
  </si>
  <si>
    <t>TOTAL OBJETIVO ESTRATÉGICO ESPECÍFICO 1.5===&gt;</t>
  </si>
  <si>
    <t>2197625. Incremento de la Producción de Palto del Distrito de San Benito, Provincia de Contumazá, Región Cajamarca.</t>
  </si>
  <si>
    <t>Hectáreas</t>
  </si>
  <si>
    <t>Hualgayoc-Bambamarca</t>
  </si>
  <si>
    <t>Planta Quesera</t>
  </si>
  <si>
    <t>2197630. Desarrollo Competitivo de la Crianza Extensiva de Peces de Agua Fría, Asociación de pescadores Laguna San Nicolas, Distrito de Namora, Cajamarca.</t>
  </si>
  <si>
    <t>2197631. Incremento de la Productividad y Mejoramiento de la Calidad de la Leche, Asociación de Productores la Flor de Arveja, Distrito de Chiguirip.</t>
  </si>
  <si>
    <t>2197633. Incremento de la Producción de Leche del Ganado Vacuno Criollo en la Asociación de Ganaderos nueva Integración Campesina del C.P. Cruz Roja.</t>
  </si>
  <si>
    <t>2197634. Mejoramiento de la Calidad de Producción y Comercialización de Trucha, Asociación de Productores Ecológicos y Agropecuarios el Amaro, Distrit</t>
  </si>
  <si>
    <t>2197636. Fortalecimiento de la Competitividad de Pequeños Productores de Café en la Cuenca del Rio Chancay Sector Rio Seco, Distrito de Ninabamba.</t>
  </si>
  <si>
    <t>Santa Cruz</t>
  </si>
  <si>
    <t>2197638. Incremento de la Competitividad de la Cadena Productiva de la Leche del AEO el Obrero del Caserío de Shauac, Centro Poblado Huangamarca.</t>
  </si>
  <si>
    <t xml:space="preserve">
2197632. Incremento de la Producción Lechera a Través de Mejoramiento e Instalación de Pasturas, Asociación de Productores Agropecuarios de Celendín A.P.A.C
</t>
  </si>
  <si>
    <t>2197637. Incremento de la Producción de Leche en el Ganado Vacuno Criollo a Través del Mejoramiento e Instalación de Pasturas, Asociación Macobed</t>
  </si>
  <si>
    <t>2197640. Manejo Tecnificado de una Piscigranja de Truchas, para la Producción y Comercialización Sostenible de los Productores, Asociación para el Desarrollo.</t>
  </si>
  <si>
    <t>2197641. Incremento de la Producción y Comercialización de Truchas, Asociación de Productores Agropecuarios y Acuicultura Cumbre Andina, Laguna Alforjacocha.</t>
  </si>
  <si>
    <t>2197643. Mejoramiento de la Producción y Comercialización de Leche Fresca con la Instalación y Mejora de Estructuras de Crianza de Ganado Vacuno Leche</t>
  </si>
  <si>
    <t>2197647. Incremento de la Producción y Comercialización de Leche Fresca en el Caserío Miraflores, Distrito de Cortegana, Celendín, Cajamarca.</t>
  </si>
  <si>
    <t>2197652. Mejoramiento de la Producción Láctea de la Asociación Agroganadera del Centro Poblado Lanchez, Distrito de Niepos, Provincia de San Miguel.</t>
  </si>
  <si>
    <t>2197653. Mejoramiento de la Producción, la Calidad y Comercialización del Café, Asociación de Productores Agrarios Mandinguez, Distrito de Bolívar, San Miguel.</t>
  </si>
  <si>
    <t>2197655. Mejoramiento de la Producción y Comercialización de Palta en 09 Distritos de las Provincias de San Marcos y Cajabamba, Cajamarca.</t>
  </si>
  <si>
    <t>Acciones de coordinación de Gerencia de Desarrollo Económico</t>
  </si>
  <si>
    <t>Consultor</t>
  </si>
  <si>
    <t>Seguro de salud (CAS)</t>
  </si>
  <si>
    <t>TOTAL OBJETIVO ESTRATÉGICO ESPECÍFICO 2.1 ===&gt;</t>
  </si>
  <si>
    <t xml:space="preserve">Gerencia de desarrollo económico -Actividades de coordinación  </t>
  </si>
  <si>
    <t>Gerencia Regional de Desarrollo Económico -Proyectos</t>
  </si>
  <si>
    <t>2197635. Mejoramiento del Cultivo de Palto con Articulación Comercial a Mercados Dinámicos del Caserío de Sarauz, distrito de la Libertad de Pallán.</t>
  </si>
  <si>
    <t>2197649 Incremento de la Productividad y Comercialización de Truchas, Asociación de Productores Valle Chipuluc, Distrito de Cutervo, Cutervo, Cajamarca.</t>
  </si>
  <si>
    <t>2197648 Incremento de la Producción de Café en la Asociación de productores Agropecuarios Virgen del Arco C.P. el Cumbe distrito de Callayuc, Cutervo.</t>
  </si>
  <si>
    <t>2197646 Instalación de Piscigranja Comunal de Comunidades Nativas, Organización Fronteriza Awajún de Cajamarca Sede Central Supayacu –Orfac.</t>
  </si>
  <si>
    <t>2197644 Incremento de la Producción y la Calidad Física del Café, Cooperativa Agraria Cuenca el Llaucano, Distrito de Paccha, Chota, Cajamarca.</t>
  </si>
  <si>
    <t>2197642 Incremento de la Capacidad Productiva de Centros de Producción de Oncorhynchus Mykiss-Trucha Arcoiris, Asociación de Productores Acuícolas.</t>
  </si>
  <si>
    <t>2197639 Mejoramiento de la Calidad y Productividad de Leche Fresca, Asociación de Productores Agropecuarios Realidad Norteña Caserío la Palma-Carhuaru.</t>
  </si>
  <si>
    <t>Cajabamba y San Marcos</t>
  </si>
  <si>
    <t>San MArcos</t>
  </si>
  <si>
    <t>2197628. Incremento de la Competitividad de la Cadena Productiva de los Derivados Lácteos del AEO el Campesino, distrito Bambamarca, Hualgayoc, Cajamarca.</t>
  </si>
  <si>
    <t>2197629 Implementación de Sala de Re Incubación y eficiencia en el manejo del Proceso Productivo de la Oncorhynchus Mykiss -Trucha Arcoiris.</t>
  </si>
  <si>
    <t>2197626 Incremento de la producción y productividad del cultivo de arroz en el Centro Poblado del Salitre, Distrito Tantarica, Contumaza, Cajamarca.</t>
  </si>
  <si>
    <t>Fondo Concursable</t>
  </si>
  <si>
    <r>
      <rPr>
        <b/>
        <sz val="10"/>
        <color theme="1"/>
        <rFont val="Calibri"/>
        <family val="2"/>
        <scheme val="minor"/>
      </rPr>
      <t>POLÍTICA PÚBLICA DEL GOBIERNO REGIONAL CAJAMARCA 2015-2018:</t>
    </r>
    <r>
      <rPr>
        <sz val="10"/>
        <color theme="1"/>
        <rFont val="Calibri"/>
        <family val="2"/>
        <scheme val="minor"/>
      </rPr>
      <t xml:space="preserve"> 2.1 Generar competitividad territorial sostenible, através del impulso de actividades productivas y de servicios, articuladas al mercado con infraestructura e innovación tecnológica.     </t>
    </r>
  </si>
  <si>
    <t>Gerencia Regional de Desarrollo Económico</t>
  </si>
  <si>
    <t>2197658 Incremento de la Productividad y Mejoramiento de la Articulación Comercial de la Palta Fuerte de la Cooperativa de Servicios Múltiples.</t>
  </si>
  <si>
    <t>2197657 Incremento de la productividad de cultivo de arroz sector Ventanillas, Distrito de Yonán, Contumazá, Cajamarca.</t>
  </si>
  <si>
    <t>2197654 Incremento de la productividad de cultivo del Arroz-Sector Pay-Pay, distrito de Yonán, Contumazá, Cajamarca.</t>
  </si>
  <si>
    <t>2197650 Mejoramiento de la Cadena Productiva de Leche de los Pequeños Ganaderos Integrantes de la COPAAESC, Distrito Santa Cruz, Santa Cruz, Cajamarca.</t>
  </si>
  <si>
    <t>2197651 Instalación de una Planta de Procesamiento de Maquila y Envasado de Arroz de la Asociación de Productores Agropecuarios Frontera Cumbre Perico.</t>
  </si>
  <si>
    <t>2197656 Incrementar la producción y calidad de la leche cruda, asociación de Productores Agropecuarios Vizcachas, distrito de San Pablo, San Pablo.</t>
  </si>
  <si>
    <t xml:space="preserve">Mejoramiento de la cadena productiva del ganado vacuno criollo y criollo mestizo a nivel multilocal, distrito de Santo Tomás Cutervo Cajamarca </t>
  </si>
  <si>
    <t>Instalación de RYE GRASS - Trébol Rojo</t>
  </si>
  <si>
    <t>Instalación de avena</t>
  </si>
  <si>
    <t>Instalación de Maralfalfa</t>
  </si>
  <si>
    <t>Consultoría para capacitación en prácticas de prevención y control de enfermedades</t>
  </si>
  <si>
    <t>Implementación de botiquín veterinario</t>
  </si>
  <si>
    <t>Consultoría para capacitación en inseminación artificial</t>
  </si>
  <si>
    <t>Centro Genético, informática e investigación</t>
  </si>
  <si>
    <t>Postas de inseminación artificial</t>
  </si>
  <si>
    <t>Mejoramiento de la cadena productiva del ganado criollo y criollo mestizo en el disrtitro de la Ramada -Cutervo Cajamarca</t>
  </si>
  <si>
    <t>Eficiente alimentación del ganado vacuno</t>
  </si>
  <si>
    <t>Fortalecer las prácticas en sanidad animal</t>
  </si>
  <si>
    <t>Eficiente mejoramiento genético en ganado vacuno</t>
  </si>
  <si>
    <t>Conocimiento en técnicas de transformación láctea</t>
  </si>
  <si>
    <t>Fortalecimiento de las organizaciones de los productores ganaderos</t>
  </si>
  <si>
    <t>Recuperación capacidad productiva del módulo Pscícola la Balsa-San Ignacio</t>
  </si>
  <si>
    <t>3999999 Sin Producto (Planeamiento, Administración, Titulación deTierras y Catastro rural, Recuros Naturales, Previsiones Sociales)</t>
  </si>
  <si>
    <t>3000629 Productores Agropecuarios Organizados y Asesorados, Gestionan Empresarialmente sus Organizaciones</t>
  </si>
  <si>
    <t>3000633 Productores Agropecuarios reciben y acceden adecuadamente servicios de información agraria</t>
  </si>
  <si>
    <t>DIRECCIÓN REGIONAL DE AGRICULTURA CAJAMARCA</t>
  </si>
  <si>
    <t xml:space="preserve">Consolidar el fortalecimiento de capacidades del personal de Planificación de la DRAC para la Actualización del Plan Estratégico Sectorial.     </t>
  </si>
  <si>
    <t>Consolidación del fortalecimiento de capacidades del personal de Planificación de la DRAC para la Actualización del Plan Estratégico Sectorial.</t>
  </si>
  <si>
    <t>Gastos por la contratación de servicios (Consultor)</t>
  </si>
  <si>
    <t>Consultoria</t>
  </si>
  <si>
    <t>Fortalecer la Gestión pública - privada con proyectos</t>
  </si>
  <si>
    <t>Realizar acciones de sensibilización y difusión de los lineamientos de politica regional en el sector agrario y la convocatoria a un trabajo articulado</t>
  </si>
  <si>
    <t>Gastos por la contratación de servicios (Pasajes, hospedaje y alimentación)</t>
  </si>
  <si>
    <t>Gastos por la contratación de servicios (Alquiler del local)</t>
  </si>
  <si>
    <t>Gastos por la contratación de servicios (Edición, reproducción y distribución de documentos)</t>
  </si>
  <si>
    <t>Gastos por la contratación de servicios (Consultoría para moderar)</t>
  </si>
  <si>
    <t>Gastos por la contratación de servicios (Consultor para moderar)</t>
  </si>
  <si>
    <t>Gastos por la contratación de servicios (Diseño de un sistema de monitoreo y evaluación de los servicios de la DRAC y AA)</t>
  </si>
  <si>
    <t>Gastos por la contratación de servicios (Diseño de un Software integral para monitoreo de servicios de la DRAC y AA)</t>
  </si>
  <si>
    <t>Gastos por la contratación de servicios (Elaboración de Línea de Base de Proyecto e impresión )</t>
  </si>
  <si>
    <t>Gastos por la contratación de servicios</t>
  </si>
  <si>
    <t>Meses</t>
  </si>
  <si>
    <t>Adquisición de vehiculos para transporte terrestre (Camionetas 4x4, doble cabina)</t>
  </si>
  <si>
    <t>Unidades</t>
  </si>
  <si>
    <t>Adquisición de vehiculos para transporte terrestre (Motociletas Nº 200)</t>
  </si>
  <si>
    <t>Adquisición de equipos de telecomunicaciones ( Filmadora)</t>
  </si>
  <si>
    <t>Adquisición de equipos de medición (GPS)</t>
  </si>
  <si>
    <t>Adquisición de software (licencias de software y licencias antivirus)</t>
  </si>
  <si>
    <t>Adquisición de mobiliario (Escritorios)</t>
  </si>
  <si>
    <t>Adquisición de bienes (Equipos de extensión y capacitación)</t>
  </si>
  <si>
    <t>Adquisición de bienes (Uniformes de trabajo, Chalecos, botas, Casacas)</t>
  </si>
  <si>
    <t>Gastos por la contratación de servicios (Alimentación y hospedaje/Taller)</t>
  </si>
  <si>
    <t>Gastos por la contratación de servicios (Metodologías de facilitación/talleres)</t>
  </si>
  <si>
    <t>Gastos por la contratación de servicios (Pasantias Regionales, Servicios de hospedaje, alimentación y pasajes)</t>
  </si>
  <si>
    <t>Gastos por la contratación de servicios (Pasantias dentro de la Región, Servicios de hospedaje, alimentación y pasajes)</t>
  </si>
  <si>
    <t>Gastos por la contratación de servicios (Consultoria para sistematización de experiencia de las pasantías)</t>
  </si>
  <si>
    <t>Gastos por la contratación de servicios (Capacitación y AT a personal en MIC, BPA y comercialización del cultivo de Palto)</t>
  </si>
  <si>
    <t>Gastos por la contratación de servicios (Capacitación y AT a personal en MIC y comercialización del Cultivo de Taya)</t>
  </si>
  <si>
    <t>Gastos por la contratación de servicios (Capacitación y AT a personal en MIC y comercialización del cultivo de Arroz)</t>
  </si>
  <si>
    <t>Gastos por la contratación de servicios (Capacitación y AT a personal en manejo de ganado vacuno lechero)</t>
  </si>
  <si>
    <t>Gastos por la contratación de servicios (Capacitación y AT a personal en MIC y comercialización del cultivo de Café)</t>
  </si>
  <si>
    <t>Gastos por la contratación de servicios (Capacitación y AT a personal en MIC y comercialización del cultivo de Cacao).</t>
  </si>
  <si>
    <t>Gastos por la contratación de servicios (Capacitación y AT a personal en MIC y comercialización  del cultivo de Menestras)</t>
  </si>
  <si>
    <t xml:space="preserve">Gastos por la contratación de servicios (Capacitación y AT a personal en MIC y comercialización del cultivo de Mango) </t>
  </si>
  <si>
    <t>Gastos por la contratación de servicios (Capacitación y AT a personal en MIC y comercialización del cultivo de Chirimoya)</t>
  </si>
  <si>
    <t>Gastos por la contratación de servicios (Capacitación al personal en AGRONEGOCIOS)</t>
  </si>
  <si>
    <t>Gastos por la contratación de servicios (Capacitación al personal en COMERCIO INTERIOR, COMERCIO EXTERIOR y ADUANAS)</t>
  </si>
  <si>
    <t>Gastos por la contratación de servicios (Capacitación al personal en INOCUIDAD Y TRAZABILIDAD)</t>
  </si>
  <si>
    <t>Gastos por la contratación de servicios (Capacitación al personal y AT, en Normas de Certificación GLOBAL GAP, Agricultura Organica, Normas Medioambiental y Comercio Justo)</t>
  </si>
  <si>
    <t>Gastos por la contratación de servicios (Alimentación y hospedaje de personal capacitado)</t>
  </si>
  <si>
    <t>Gastos por la contratación de servicios (Pasantias para visitar parcelas de pequeños productores y empresas comercializadoras, servicios de hospedaje, alimentación y pasajes)</t>
  </si>
  <si>
    <t>Pasantias</t>
  </si>
  <si>
    <t>Gastos por la contratación de servicios (Sistematización de la experiencia )</t>
  </si>
  <si>
    <t>Gastos por la contratación de servicios ( Consultoría para acreditación de profesionales)</t>
  </si>
  <si>
    <t>Gastos por la contratación de servicios ( Alquiler de local y alimentación para el otorgamiento oficial de la acreditación)</t>
  </si>
  <si>
    <t>Gastos por la contratación de servicios (Pasantías para visitar otro pais  servicios de hospedaje, alimentación y pasajes, presupuesto por Pasante)</t>
  </si>
  <si>
    <t>Pasantes</t>
  </si>
  <si>
    <t>Gastos por la contratación de servicios (Pasantías para visitar otra región  servicios de hospedaje, alimentación y pasajes, presupuesto por Pasante)</t>
  </si>
  <si>
    <t>Gastos por la contratación de servicios (Consultoría para la elaboración de un sistema integral para la  recolección y sistematización de la información Agraria)</t>
  </si>
  <si>
    <t>Gastos por la contratación de servicios (Consultoría para el desarrollo de capacidades en la elaboración de estudios de mercado e intelegencia comercial)</t>
  </si>
  <si>
    <t>Gastos por la contratación de servicios (Refrigerios y viaticos) Talleres</t>
  </si>
  <si>
    <t>Gastos por la contratación de servicios (consultor para la elaboración de un sistema de difusión agraria y capacitación al personal acerca de los TICs)</t>
  </si>
  <si>
    <t>Gastos por la contratación de servicios (Refrigerios y viáticos) Talleres</t>
  </si>
  <si>
    <t>Gastos por la contratación de servicios (impresión de material de difusión para validación del sistema)</t>
  </si>
  <si>
    <t>Gastos para la compra de bienes (logística, para socialización de propuesta a productores)</t>
  </si>
  <si>
    <t>Asignaciones para las Ag. Agr.</t>
  </si>
  <si>
    <t xml:space="preserve">Gastos por la contratación de servicios ( difusión) </t>
  </si>
  <si>
    <t xml:space="preserve">Gastos por la contratación de servicios (refrigerio y viáticos ) </t>
  </si>
  <si>
    <t xml:space="preserve">Gastos para la compra de bienes (materiales y equipos para sensibilización y socialización) </t>
  </si>
  <si>
    <t xml:space="preserve">Gastos por la contratación de servicios (Diseño e impresión de credenciales) </t>
  </si>
  <si>
    <t xml:space="preserve">Gastos por la contratación de servicios (Impresión de guías para formación promotores agrarios) </t>
  </si>
  <si>
    <t xml:space="preserve">Gastos por la contratación de servicios (Capacitación en Norma legal de Cooperativas y constitución ) </t>
  </si>
  <si>
    <t>Gastos para compra de bienes (logística para capacitar a los productores, combustible)</t>
  </si>
  <si>
    <t>Gerencia, administracion, contabilidad y financiamiento de una cooperativa</t>
  </si>
  <si>
    <t>Consultora</t>
  </si>
  <si>
    <t xml:space="preserve">Gastos por la contratación de servicios (refrigerio y viáticos) </t>
  </si>
  <si>
    <t>Gastos por la contratación de servicios  (Capacitación en Formulación de Planes de Negocio)</t>
  </si>
  <si>
    <t>Combustible / Mantenimiento</t>
  </si>
  <si>
    <t xml:space="preserve">Gastos por la contratación de servicios (Marketing, Gestión de la Calidad y Certificaciones) </t>
  </si>
  <si>
    <t>Gastos para compra de bienes (logistica para capacitar a los productores, combustible)</t>
  </si>
  <si>
    <t>Gastos por la contratación de servicios ( elaboración de material de capacitación y sensibilización acción 5.1.3; 5.1.4; 5.1.5 ; 5.1.6; 5,1,7)</t>
  </si>
  <si>
    <t xml:space="preserve">Gastos por la compra de bienes (meteriales de escritorio, papel, lapiceros, papalotes y plumones) </t>
  </si>
  <si>
    <t>Gastos por la contratación de servicios (Profesionales de campo para brindar asesoria y asistencia técnica)</t>
  </si>
  <si>
    <t xml:space="preserve">COSTOS DIRECTOS TOTALES </t>
  </si>
  <si>
    <t>SUPERVISIÓN Y LIQUIDACIÓN (2.5%)</t>
  </si>
  <si>
    <t xml:space="preserve">Gastos por la compra de bienes (combustible) </t>
  </si>
  <si>
    <t>Galones</t>
  </si>
  <si>
    <t>Gastos por la contratación de servicios (viáticos)</t>
  </si>
  <si>
    <t xml:space="preserve">Gastos por la compra de bienes (meteriales de oficina) </t>
  </si>
  <si>
    <t>Gastos por la contratación de servicios (Liquidación y cierre del proyecto)</t>
  </si>
  <si>
    <t>GASTOS GENERALES - ADMINISTRACIÓN Y GESTION DEL PROYECTO</t>
  </si>
  <si>
    <t>Equipo técnico y administrativo</t>
  </si>
  <si>
    <t>Coordinador General</t>
  </si>
  <si>
    <t>Coordinador Zonal norte 1</t>
  </si>
  <si>
    <t>Coordinador Zonal Centro 2</t>
  </si>
  <si>
    <t>Coordinador Zonal sur 3</t>
  </si>
  <si>
    <t>Asistente Administrativo</t>
  </si>
  <si>
    <t>Auxillar de administración</t>
  </si>
  <si>
    <t xml:space="preserve">Viáticos y pasajes </t>
  </si>
  <si>
    <t>Mantenimiento de vehículos</t>
  </si>
  <si>
    <t>Repuestos de vehículos</t>
  </si>
  <si>
    <t>Repuestos</t>
  </si>
  <si>
    <t>Seguros (SOAT)</t>
  </si>
  <si>
    <t>SOAT</t>
  </si>
  <si>
    <t>Laptops</t>
  </si>
  <si>
    <t>Escritorios</t>
  </si>
  <si>
    <t>Impresoras</t>
  </si>
  <si>
    <t>Fotocopiadora</t>
  </si>
  <si>
    <t xml:space="preserve"> Sillas</t>
  </si>
  <si>
    <t>Módulo de reuniones</t>
  </si>
  <si>
    <t>Ecran</t>
  </si>
  <si>
    <t>Papel bond A4</t>
  </si>
  <si>
    <t>Millares</t>
  </si>
  <si>
    <t>Tóner</t>
  </si>
  <si>
    <t>Ambientación de oficina</t>
  </si>
  <si>
    <t>Material de oficina</t>
  </si>
  <si>
    <t>Monitoreo y Evaluación del proyecto</t>
  </si>
  <si>
    <t xml:space="preserve">Viáticos </t>
  </si>
  <si>
    <t>Materiales de oficina</t>
  </si>
  <si>
    <t>Auditoría contable</t>
  </si>
  <si>
    <t>Gastos por la contratación de servicios de consultoría</t>
  </si>
  <si>
    <t>Imprevistos</t>
  </si>
  <si>
    <t xml:space="preserve">Gastos por la contratación de servicios </t>
  </si>
  <si>
    <t>TOTAL COSTOS INDIRECTOS - INTANGIBLES</t>
  </si>
  <si>
    <t>Acción 1.2.2 Fortalecer la competitividad regional agraria a traves del Consejo Consultivo Agrario</t>
  </si>
  <si>
    <t xml:space="preserve">Acción 1.2.3 Conformación y fortalecimiento de los Comités de Gestión Agraria para la competitividad agraria. </t>
  </si>
  <si>
    <t>Componente 2. Adecuadas Capacidades para el Monitoreo y Evaluación  de los Servicios.</t>
  </si>
  <si>
    <t>Actividad 2.1. Diseño de un Sistema de  Control e Indicadores adecuados para el Monitoreo, Seguimiento y Evaluación.</t>
  </si>
  <si>
    <t xml:space="preserve">Actividad 2.2. Implementar y aplicar los mecanismos de Monitoreo y Evaluación en la DRAC. </t>
  </si>
  <si>
    <t>Actividad 3.1. Adquisición de vehículos, equipos y mobiliario.</t>
  </si>
  <si>
    <t>Acción 3.1.1. Adquisición de vehículos mayores y menores para las agencias agrarias y sede central de la DRAC.</t>
  </si>
  <si>
    <t>Acción 3.1.2. Adquisición de equipos y software para la provisión de servicios en las agencias agrarias y sede central de la DRAC.</t>
  </si>
  <si>
    <t xml:space="preserve">Componente 5. Fortalecimiento de la Asociatividad de los pequeños productores desde las Agencias Agrarias. </t>
  </si>
  <si>
    <t>Componente 3. Adecuadas condiciones físicas y tecnólogicas de la DRAC.</t>
  </si>
  <si>
    <t>Proyecto: Mejoramiento de las provisiones de los servicios agrarios de la  Dirección Regional de Agricultura Cajamarca</t>
  </si>
  <si>
    <t xml:space="preserve">Componente 4. Adecuadas Capacidades del personal para promover la Competitividad en los productores agrarios. </t>
  </si>
  <si>
    <t xml:space="preserve">. </t>
  </si>
  <si>
    <t xml:space="preserve">Componente 1. Adecuadas Capacidades para generar una eficiente Planificación. </t>
  </si>
  <si>
    <t>Acción 3.1.3. Adquisición de mobiliario para las Agencias Agrarias  y sede central de la DRAC.</t>
  </si>
  <si>
    <t>Acción 4.1.1 Cursos de capacitación en asociatividad al equipo de Competitividad de la DRAC y Agencias Agrarias.</t>
  </si>
  <si>
    <t xml:space="preserve">Actividad 4.1 Capacitación al personal de la DRAC para promover la Organización y Asociatividad en los Productores. </t>
  </si>
  <si>
    <t>Acción 4.1.2 Pasantías y visitas guiadas a organizaciones de productores exitosas de técnicos y promotores locales.</t>
  </si>
  <si>
    <t>Actividad 4.2 Capacitación Técnica Productiva y de Comercialización en el personal</t>
  </si>
  <si>
    <t>Acción 4.2.1 Cursos de capacitación a Técnicos del área de competitividad en temas de producción, cosecha, post cosecha, comercialización y agronegocios de acuerdo a los requerimientos de los productos priorizados en cada ámbito de intervención.</t>
  </si>
  <si>
    <t>Acción 4.2.2 Adquisición e implementación de módulos para desarrollo de capacidades técnico productivas.</t>
  </si>
  <si>
    <t>Gastos por la compra de bienes (Módulos de cultivos)</t>
  </si>
  <si>
    <t>Gatos por la compra de bienes (Módulos de crianza de ganado vacuno lechero)</t>
  </si>
  <si>
    <t>Gatos por la compra de bienes (Módulos de gestión de la calidad)</t>
  </si>
  <si>
    <t>Acción 4.2.3 Pasantías y visitas guiadas a experiencias exitosas para  técnicos y promotores locales.</t>
  </si>
  <si>
    <t>Actividad 4.3 Institucionalización de las capacidades especiales adquiridas por los profesionales de la DRAC.</t>
  </si>
  <si>
    <t>Acción 4.3.1 Acreditación de los Profesionales de las Agencias Agrarias y Dirección de Competitividad de la DRAC, como: Experto en Asociatividad de pequeños productores agrarios.</t>
  </si>
  <si>
    <t>Acción 4.3.2 Pasantía de los directivos de la DRAC y AA, para conocer la gestión agraria pública en un país vecino con gestión exitosa.</t>
  </si>
  <si>
    <t>Actividad 4.4 Capacitación para el uso de Sistemas y Gestión de la Información en las AA.</t>
  </si>
  <si>
    <t xml:space="preserve">4.4.1 Cursos de capacitación en gestión de la información </t>
  </si>
  <si>
    <t>Acción 4.4.2 Implementación de un sistema de difusión agraria</t>
  </si>
  <si>
    <t>Actividad 5.1 Fortalecimiento de la Asociatividad de los pequeños productores desde las Agencias Agrarias en  el  acompañamiento, sensibilización, promoción, constitución y funcionamiento de la Organización de Productores Agrarios.</t>
  </si>
  <si>
    <t>Acción  5.1.1 Metodologìas para Ia dentificación, evaluación y selección de Productores y zonas donde se promovera la asociatividad con gestion empresarial y enfoque territorial</t>
  </si>
  <si>
    <t>Acción 5.1.2 Acreditación de los promotores agrarios para recibir la capacitación y se conviertan en capacitadores de otros productores en su ámbito de intervención.</t>
  </si>
  <si>
    <t xml:space="preserve">Gastos por la contratación de servicios (Diseño y diagramación de guia para promotores agrarios) </t>
  </si>
  <si>
    <t>Acción 5.1.3 Cursos de Capacitación en metodologias para la planificación e implementación del proceso de formación y constitución de las OPAs sostenibles</t>
  </si>
  <si>
    <t xml:space="preserve">Acción 5.1.4 Acompañamiento para la consolidación de las OPAs en su ambito de intervención </t>
  </si>
  <si>
    <t>Acción 5.1.5 Fortalecimiento de capacidades en el manejo agroproductivo de las Cadenas Priorizadas.</t>
  </si>
  <si>
    <t xml:space="preserve">Acción 5.1.6 Cursos de Planes de Producción y Comercialización para OPA´s </t>
  </si>
  <si>
    <t>Acción 5.17 Fortalecimiento de capacidades para Asesoramiento comercial (Mercado, certificaciones y gestión de la calidad)</t>
  </si>
  <si>
    <t>Acción 5.1.8 Medios y Materiales de Información</t>
  </si>
  <si>
    <t>Acción 5.1.9 Profesionales de Campo</t>
  </si>
  <si>
    <t>Módulos</t>
  </si>
  <si>
    <t>Gastos por la contratación de servicios (Consultorías/zonas de trabajo)</t>
  </si>
  <si>
    <t>Adquisición de equipos computacionales y periféricos (Laptops)</t>
  </si>
  <si>
    <t>Adquisición de equipos computacionales y periféricos (Impresoras)</t>
  </si>
  <si>
    <t>Adquisición de equipos computacionales y periféricos (Proyector)</t>
  </si>
  <si>
    <t>Adquisición de equipos de telecomunicaciones ( Cámara fotográfica)</t>
  </si>
  <si>
    <t>Adquisición de equipos computacionales y periféricos (Computadoras de escritorios)</t>
  </si>
  <si>
    <t>Componente 1: Adecuada Conformación de Canales de Riego y Control del Hospedero Intermediario.</t>
  </si>
  <si>
    <t>Elaboración del Manual de Capacitación sobre Metodología de Limpieza de Canales</t>
  </si>
  <si>
    <t>Cajamarca, Cajabamba, San Marcos, Celendín, San Pablo, San Miguel</t>
  </si>
  <si>
    <t>Manuales</t>
  </si>
  <si>
    <t>1.2.2</t>
  </si>
  <si>
    <t>Asistencia Técnica a las Unidades ganaderas</t>
  </si>
  <si>
    <t>Productores asistidos</t>
  </si>
  <si>
    <t>Componente 2: Adecuado Manejo del Tratamiento Antiparasitario</t>
  </si>
  <si>
    <t>Establecimiento de un sistema de monitoreo de los tratamientos</t>
  </si>
  <si>
    <t>Muestras</t>
  </si>
  <si>
    <t>2.2.1</t>
  </si>
  <si>
    <t>Calendarizar el sistema de dosificaciones</t>
  </si>
  <si>
    <t>2.2.3</t>
  </si>
  <si>
    <t>Trabajo de campo sobre las dosificaciones</t>
  </si>
  <si>
    <t>Animales dosificados</t>
  </si>
  <si>
    <t>2.2.4</t>
  </si>
  <si>
    <t>Calendarios para los productores</t>
  </si>
  <si>
    <t>Componente 3: Eficiente Seguimiento y Rastreo (GIS)</t>
  </si>
  <si>
    <t>Implementación de un Sistema de Información GIS.</t>
  </si>
  <si>
    <t>3.1.3</t>
  </si>
  <si>
    <t>Activación del Sistema GIS</t>
  </si>
  <si>
    <t>Identificación Única de Ganado Bovino mediante aretado y/o microchips</t>
  </si>
  <si>
    <t>3.2.5</t>
  </si>
  <si>
    <t>Ejecución del Aretado.</t>
  </si>
  <si>
    <t>Animales Identificados</t>
  </si>
  <si>
    <t>Componente 4: Disponibilidad de Pruebas Diagnósticas</t>
  </si>
  <si>
    <t>Implementación de pruebas diagnósticas estandarizadas de F.H. En Humanos para el monitoreo</t>
  </si>
  <si>
    <t>4.1.1</t>
  </si>
  <si>
    <t>Adquisición de materiales e insumos de laboratorio</t>
  </si>
  <si>
    <t>Mes</t>
  </si>
  <si>
    <t>4.1.2</t>
  </si>
  <si>
    <t>Equipamiento de los laboratorios principales</t>
  </si>
  <si>
    <t>Glb.</t>
  </si>
  <si>
    <t>4.1.3</t>
  </si>
  <si>
    <t>Adecuación del laboratorio provincial para realizar las pruebas diagnósticas</t>
  </si>
  <si>
    <t>Laboratorio</t>
  </si>
  <si>
    <t>4.1.4</t>
  </si>
  <si>
    <t>Capacitación a los especialistas que utilizarán el laboratorio</t>
  </si>
  <si>
    <t>Implementar un Laboratorio para diagnóstico de la Fasciolosis hepática.</t>
  </si>
  <si>
    <t>4.2.1</t>
  </si>
  <si>
    <t>Entrenamiento al personal para el uso del FLOTAC.</t>
  </si>
  <si>
    <t>4.2.2</t>
  </si>
  <si>
    <t>Implementar Diagnóstico de Fasciola hepática mediante el uso del FLOTAC.</t>
  </si>
  <si>
    <t>4.2.3</t>
  </si>
  <si>
    <t>Implementación de una Red de Vigilancia Epidemiológica Integral.</t>
  </si>
  <si>
    <t>4.2.4</t>
  </si>
  <si>
    <t>Elaboración de formatos integrados</t>
  </si>
  <si>
    <t>4.2.5</t>
  </si>
  <si>
    <t>Capacitación para la implementación</t>
  </si>
  <si>
    <t>4.2.6</t>
  </si>
  <si>
    <t>Implementación de la Red de Vigilancia.</t>
  </si>
  <si>
    <t>4.2.7</t>
  </si>
  <si>
    <t>Elaboración de un Boletín para información sobre Evolución de la Fasciola Hepática</t>
  </si>
  <si>
    <t>Componente 6: Adecuada Comunicación sobre la Fasciolosis hepática.</t>
  </si>
  <si>
    <t>Comunicación Adecuada a la Población.</t>
  </si>
  <si>
    <t>6.1.1</t>
  </si>
  <si>
    <t>Equipo de comunicaciones</t>
  </si>
  <si>
    <t>6.1.2</t>
  </si>
  <si>
    <t>Difusion de las cuñas radiales</t>
  </si>
  <si>
    <t>6.1.4</t>
  </si>
  <si>
    <t>Sensibilizacion a la poblacion escolar</t>
  </si>
  <si>
    <t>Componente 7: Diseño e implementación de estudios de investigación.</t>
  </si>
  <si>
    <t>Implementación de estudios epidemiológicos y su efecto sobre la productividad animal.</t>
  </si>
  <si>
    <t>Estudios de Impacto de la Carga Parasitaria en producción lechera, fertilidad y peso.</t>
  </si>
  <si>
    <t>7.1.2</t>
  </si>
  <si>
    <t>Investigación sobre la Resistencia Antiparasitaria.</t>
  </si>
  <si>
    <t>Implementación de Estudios sobre la Fasciolosis hepática en Humanos.</t>
  </si>
  <si>
    <t>7.2.1</t>
  </si>
  <si>
    <t>Estudios de Conocimientos, Actitudes y Prácticas.</t>
  </si>
  <si>
    <t>7.2.2</t>
  </si>
  <si>
    <t>Estudios de Factores de Riesgo de la Prevalencia de Fasciolosis hepática en Humanos.</t>
  </si>
  <si>
    <t>7.2.3</t>
  </si>
  <si>
    <t>Investigación del Impacto del Tratamiento Antiparasitario en Humanos.</t>
  </si>
  <si>
    <t>Componente 8: Cumplimiento de Normas Legales en Control de Calidad y Uso de Productos Antiparasitarios.</t>
  </si>
  <si>
    <t>Aplicación y Cumplimiento de Legislación para establecer el Control de Calidad, Distribución, Venta y Uso de productos Antiparasitarios.</t>
  </si>
  <si>
    <t>8.1.1</t>
  </si>
  <si>
    <t>Proponer Reglamento para el Control de Calidad.</t>
  </si>
  <si>
    <t>8.1.2</t>
  </si>
  <si>
    <t>Toma de muestras de los productos en uso y análisis de concentración de principio activo.</t>
  </si>
  <si>
    <t>8.1.3</t>
  </si>
  <si>
    <t>Control Periódico de Calidad de Producto Antiparasitario.</t>
  </si>
  <si>
    <t>8.1.4</t>
  </si>
  <si>
    <t>Propuesta Legal para generar bonificación por Participación Activa en el Proyecto.</t>
  </si>
  <si>
    <t>Componente 9: Cumplimiento de Normas Legales en Control y Uso de Antiparasitarios.</t>
  </si>
  <si>
    <t>9.1.2</t>
  </si>
  <si>
    <t>Propuesta de Instrumentos legales Regionales para regular el Control de la Fasciolosis hepática.</t>
  </si>
  <si>
    <t>Proyecto: Control Integrado de la Distomatosis Hepática en la Región Cajamarca</t>
  </si>
  <si>
    <t>Combustible (petróleo)</t>
  </si>
  <si>
    <t>Calendarios</t>
  </si>
  <si>
    <t>Diseño del sistema de dosificaciones</t>
  </si>
  <si>
    <t xml:space="preserve">Componente 1: Fortalecimiento de capacidades técnicas </t>
  </si>
  <si>
    <t>1.1.0</t>
  </si>
  <si>
    <t>A1.1. Desarrollo módulos de capacitación en el manejo agronómico de cultivos andinos</t>
  </si>
  <si>
    <t xml:space="preserve">A1.1.1. ECAs: Preparación de suelos </t>
  </si>
  <si>
    <t xml:space="preserve">A1.1.2. ECAs: Fertilización </t>
  </si>
  <si>
    <t>A1.1.5. Asesoría especializada en cultivos andinos</t>
  </si>
  <si>
    <t>1.2.0</t>
  </si>
  <si>
    <t xml:space="preserve">A1.2. Desarrollo de módulos de capacitación en el manejo integral de plagas y enfermedades </t>
  </si>
  <si>
    <t>1.2.1</t>
  </si>
  <si>
    <t>A1.2.1. ECAs: Control integrado de plagas.</t>
  </si>
  <si>
    <t xml:space="preserve">A1.2.2. ECAs: Control integrado de enfermedades </t>
  </si>
  <si>
    <t>1.3.0</t>
  </si>
  <si>
    <t>A1.3. Formación de extensionistas rurales en la producción tecnificada de cultivos andinos</t>
  </si>
  <si>
    <t>Asistente técnico</t>
  </si>
  <si>
    <t>1.3.1</t>
  </si>
  <si>
    <t>A1.3.1. Selección de participantes del programa de formación</t>
  </si>
  <si>
    <t>1.3.2</t>
  </si>
  <si>
    <t>A1.3.2. Desarrollo módulo: Manejo integral de los cultivos andinos</t>
  </si>
  <si>
    <t>1.3.3</t>
  </si>
  <si>
    <t>A1.3.3. Desarrollo módulo: Producción de semillas y manejo de germoplasma</t>
  </si>
  <si>
    <t>1.3.4</t>
  </si>
  <si>
    <t>A1.3.4. Desarrollo del módulo: Cadenas productivas de cultivos andinos</t>
  </si>
  <si>
    <t>1.3.5</t>
  </si>
  <si>
    <t>A1.3.5. Desarrollo módulo: Desarrollo profesional del extensionista</t>
  </si>
  <si>
    <t>1.4.0</t>
  </si>
  <si>
    <t>A1.4. Instalación de parcelas demostrativas de quinua, haba y chocho</t>
  </si>
  <si>
    <t>Parcelas</t>
  </si>
  <si>
    <t>1.4.1</t>
  </si>
  <si>
    <t>A1.4.1. Identificación y logística de parcelas</t>
  </si>
  <si>
    <t>1.4.2</t>
  </si>
  <si>
    <t>A1.4.2. Instalación de parcelas demostrativas de quinua</t>
  </si>
  <si>
    <t>Castos por la compra de bienes</t>
  </si>
  <si>
    <t>1.4.3</t>
  </si>
  <si>
    <t>A1.4.3. Instalación de parcelas demostrativas de chocho</t>
  </si>
  <si>
    <t>1.4.4</t>
  </si>
  <si>
    <t>A1.4.4. Instalación de parcelas demostrativas de haba</t>
  </si>
  <si>
    <t>Castos por la contratación de servicios</t>
  </si>
  <si>
    <t xml:space="preserve">Componente 2: SEMILLAS Y ASISTENCIAS TECNICA </t>
  </si>
  <si>
    <t>A2.1. Producción de semillas certificadas de quinua, haba y chocho</t>
  </si>
  <si>
    <t>A.2.1.1. Identificación y contratación de parcelas semilleras</t>
  </si>
  <si>
    <t>A2.1.2. Instalación de parcelas de semilla de quinua</t>
  </si>
  <si>
    <t>A2.1.3. Instalación de parcelas de semilla de haba</t>
  </si>
  <si>
    <t>A2.1.4. Instalación de parcelas de semilla de chocho</t>
  </si>
  <si>
    <t>A2.1.5. Capacitación en producción de semillas de cultivos andinos</t>
  </si>
  <si>
    <t>A.2.1.6. Asesoría especializada en semillas</t>
  </si>
  <si>
    <t>2.2.0</t>
  </si>
  <si>
    <t>A2.2. Desarrollo de programas de asistencia técnica especializada</t>
  </si>
  <si>
    <t>A2.2.1. Servicios de asistencia técnica personalizada por beneficiario</t>
  </si>
  <si>
    <t>Componente3: TECNOLOGIA DE COSECHA Y VALOR AGREGADO.</t>
  </si>
  <si>
    <t>3.1.0</t>
  </si>
  <si>
    <t>A3.1. Desarrollo de módulos de capacitación en prácticas de cosecha, post cosecha y formas de consumo</t>
  </si>
  <si>
    <t>3.1.1</t>
  </si>
  <si>
    <t>A3.1.1. ECAs: Cosecha y post cosecha</t>
  </si>
  <si>
    <t>3.1.2</t>
  </si>
  <si>
    <t>3.2.0</t>
  </si>
  <si>
    <t>A3.2. Implementación de módulos demostrativos de maquinaria de cosecha y valor agregado</t>
  </si>
  <si>
    <t>Modulos implementados</t>
  </si>
  <si>
    <t>3.2.1</t>
  </si>
  <si>
    <t>A3.2.1. Selección de organizaciones beneficiarias de los módulos demostrativos de cosecha y valor agregado</t>
  </si>
  <si>
    <t>3.2.2</t>
  </si>
  <si>
    <t>A3.2.2. Instalación e implementación de módulos demostrativos de cosecha y valor agregado</t>
  </si>
  <si>
    <t>3.2.3</t>
  </si>
  <si>
    <t>A3.2.3. Capacitación y asistencia técnica en la utilización de maquinaria para cosecha y valor agregado</t>
  </si>
  <si>
    <t>3.3.0</t>
  </si>
  <si>
    <t>A3.3. Asistencia técnica en la generación de valor agregado y promoción del consumo de cultivos andinos</t>
  </si>
  <si>
    <t>Asesorías</t>
  </si>
  <si>
    <t>3.3.1</t>
  </si>
  <si>
    <t>A3.3.1. Desarrollo de productos con valor agregado a base de quinua, haba y/o chocho.</t>
  </si>
  <si>
    <t>3.3.2</t>
  </si>
  <si>
    <t>A3.3.2. Asistencia técnica en el registro de marcas y tramitación de licencias.</t>
  </si>
  <si>
    <t>Componente 4: FORTALECIMIENTO ORGANIZACIONAL</t>
  </si>
  <si>
    <t>4.1.0</t>
  </si>
  <si>
    <t>A4.1. Capacitación en fortalecimiento organizacional</t>
  </si>
  <si>
    <t>A4.1.1. Saneamiento de las organizaciones participantes</t>
  </si>
  <si>
    <t>A4.1.2. Curso taller de asociatividad y sus beneficios para competir</t>
  </si>
  <si>
    <t>4.2.0</t>
  </si>
  <si>
    <t>A4.2. Asistencia técnica en el mejoramiento del modelo de negocios de las organizaciones</t>
  </si>
  <si>
    <t>A4.2.1. Curso taller de diagnóstico de modelos de negocios conjuntos</t>
  </si>
  <si>
    <t>A4.2.2. Asistencia técnica en diseño e implementación de modelos de negocios conjuntos</t>
  </si>
  <si>
    <t>A4.2.3.  Asistencia técnica en Seguimiento y evaluación de la implementación de modelos de negocios</t>
  </si>
  <si>
    <t>4.3.0</t>
  </si>
  <si>
    <t>A4.3. Asistencia técnica en el fortalecimiento de la cultura empresarial de organizaciones</t>
  </si>
  <si>
    <t>4.3.1</t>
  </si>
  <si>
    <t>A4.3.1. Asistencia técnica en: Elaboración e implementación de planes estratégicos</t>
  </si>
  <si>
    <t>4.3.2</t>
  </si>
  <si>
    <t>A4.3.2. Asistencia técnica en: Formulación de planes de negocio y gestión de recursos</t>
  </si>
  <si>
    <t>4.3.3</t>
  </si>
  <si>
    <t>A4.3.3. Asistencia técnica y acompañamiento en gestión empresarial</t>
  </si>
  <si>
    <t xml:space="preserve">Componente 5:  ARTICULACION COMERCIAL </t>
  </si>
  <si>
    <t>5.1.0</t>
  </si>
  <si>
    <t>A5.1. Asistencia técnica y acompañamiento de emprendimientos en el sector de cultivos andinos</t>
  </si>
  <si>
    <t>5.1.1</t>
  </si>
  <si>
    <t>A5.1.1. Capacitación en mercadeo y comercialización de quinua, haba y chocho y derivados</t>
  </si>
  <si>
    <t>5.1.2</t>
  </si>
  <si>
    <t>A5.1.2. Apoyo técnico y financiero para la participación de ferias locales, regionales y nacionales</t>
  </si>
  <si>
    <t>5.1.3</t>
  </si>
  <si>
    <t>A5.1.3. Desarrollo de campañas de mercadeo local y regional de  productos con valor agregado</t>
  </si>
  <si>
    <t>5.2.0</t>
  </si>
  <si>
    <t>A5.2. Asistencia técnica en la modernización y posicionamiento de canales de distribución y comercialización</t>
  </si>
  <si>
    <t>5.2.1</t>
  </si>
  <si>
    <t xml:space="preserve">A5.2.1. Asesoría en mejoramiento de canales distribución y comercialización </t>
  </si>
  <si>
    <t>5.2.2</t>
  </si>
  <si>
    <t>A5.2.2. Asistencia técnica y acompañamiento en comercialización</t>
  </si>
  <si>
    <t>TOTAL COSTO DIRECTO</t>
  </si>
  <si>
    <t>6.1.0</t>
  </si>
  <si>
    <t>A6.1. Difusión del proyecto</t>
  </si>
  <si>
    <t>A6.1.1. Carteles de obra</t>
  </si>
  <si>
    <t>A6.1.2. Programa radial</t>
  </si>
  <si>
    <t>6.1.3</t>
  </si>
  <si>
    <t>A6.1.3. Boletines trimestrales</t>
  </si>
  <si>
    <t>Equipo técnico</t>
  </si>
  <si>
    <t xml:space="preserve">Adquisición de bienes </t>
  </si>
  <si>
    <t>7.1.3</t>
  </si>
  <si>
    <t>Contratación de servicios</t>
  </si>
  <si>
    <t>7.2.0</t>
  </si>
  <si>
    <t>SUPERVISIÓN Y MONITOREO</t>
  </si>
  <si>
    <t>Equipo de supervisión</t>
  </si>
  <si>
    <t>LÍNEA DE BASE</t>
  </si>
  <si>
    <t>EXPEDIENTE TÉCNICO</t>
  </si>
  <si>
    <t>TOTAL COSTO INDIRECTO</t>
  </si>
  <si>
    <t>Profesionales y/o Técnicos de Campo</t>
  </si>
  <si>
    <t>ADMINISTRACIÓN Y GESTION DEL PROYECTO</t>
  </si>
  <si>
    <t>Año</t>
  </si>
  <si>
    <t>Publicaciones</t>
  </si>
  <si>
    <t>Castos por la compra de vehículos de uso terrestre</t>
  </si>
  <si>
    <t>Asesoría</t>
  </si>
  <si>
    <t>Asistencia técnica</t>
  </si>
  <si>
    <t>Taller y planes  negocios</t>
  </si>
  <si>
    <t>Cursos y asesorías</t>
  </si>
  <si>
    <t>Organizaciones</t>
  </si>
  <si>
    <t xml:space="preserve">Módulos </t>
  </si>
  <si>
    <t>Proyecto: Mejoramiento de la competitividad de la cadena productiva de los cultivos andinos quinua, tarwi y haba en las provincias de Cajabamba, Cajamarca, San Marcos, Celendín, Hualgayoc, Cutervo, Chota y San Pablo - Región Cajamarca</t>
  </si>
  <si>
    <t>C6._Gestión y manejo del proyecto</t>
  </si>
  <si>
    <t>ACTIVIDADES DE LA DIRECCIÓN REGIONAL DE AGRICULTURA CAJAMARCA</t>
  </si>
  <si>
    <t>Gastos por la contratación de servicios (diseño, diagramación e impresión)</t>
  </si>
  <si>
    <t>Adquisición de mobiliario (Módulos de computadoras)</t>
  </si>
  <si>
    <t>Adquisición de mobiliario (Módulos de capacitación)</t>
  </si>
  <si>
    <t>Promoción y Desarrollo de la Acuicultura</t>
  </si>
  <si>
    <t>Promoción, supervisión y asesoramiento a piscigranjas privadas</t>
  </si>
  <si>
    <t xml:space="preserve">Otorgamiento de derechos acuícolas. </t>
  </si>
  <si>
    <t>Fortalecimiento de capacidades a  piscicultores.</t>
  </si>
  <si>
    <t xml:space="preserve">Manejo y operatividad de centros piscícolas Estatales. </t>
  </si>
  <si>
    <t xml:space="preserve">Toneladas métricas </t>
  </si>
  <si>
    <t xml:space="preserve">Aplicación de normas técnico-legales a la introducción y desinfección de ovas embrionadas. </t>
  </si>
  <si>
    <t>Constitución de organizaciones de productores acuícolas.</t>
  </si>
  <si>
    <t>Organización</t>
  </si>
  <si>
    <t>Elaboración del Plan de Manejo Acuícola de Tilapia.</t>
  </si>
  <si>
    <t xml:space="preserve"> -</t>
  </si>
  <si>
    <t>Mejoramiento de la Pesca por Acuicultura</t>
  </si>
  <si>
    <t>Reconocimiento y Evaluación de Recursos Hídricos</t>
  </si>
  <si>
    <t>RRHH</t>
  </si>
  <si>
    <t>Poblamiento y Repoblamiento de Recursos Hídricos</t>
  </si>
  <si>
    <t>Recurso</t>
  </si>
  <si>
    <t>Promoción y Ordenamiento de la Actividad Pesquera</t>
  </si>
  <si>
    <t xml:space="preserve"> 3.1</t>
  </si>
  <si>
    <t>Promover la Conformación de Comités y/o Asociaciones de Pesca y Vigilancia.</t>
  </si>
  <si>
    <t>Permisos de Pesca Artesanal</t>
  </si>
  <si>
    <t>Pescador</t>
  </si>
  <si>
    <t>Fortalecimiento de Capacidades a Pescadores Artesanales</t>
  </si>
  <si>
    <t>Pescas Exploratorias Continentales.</t>
  </si>
  <si>
    <t>Control y Vigilancia de la Actividad Acuícola Pesquera</t>
  </si>
  <si>
    <t>Actualización de Padrón, Registro y Acreditación de Pescadores Artesanales</t>
  </si>
  <si>
    <t>Constancia/
Credencial</t>
  </si>
  <si>
    <t>Inspección y Control de Derechos Administrativos y Normatividad Acuícola Pesquera.</t>
  </si>
  <si>
    <t>Fortalecimiento de Instancia Administrativa -Sancionadora en Materia de Pesca y Acuicultura</t>
  </si>
  <si>
    <t>Fomento al Consumo de Pescado y Seguridad Alimentaria</t>
  </si>
  <si>
    <t>5.1</t>
  </si>
  <si>
    <t>Fortalecimiento de Capacidades a Expendedores y Consumidores de Productos Hidrobiológicos.</t>
  </si>
  <si>
    <t>5.2</t>
  </si>
  <si>
    <t xml:space="preserve">Reporte Estadístico de Productos Hidrobiológicos Marinos, Continentales y Evaluación de Servicios Pesqueros. </t>
  </si>
  <si>
    <t>5.3</t>
  </si>
  <si>
    <t xml:space="preserve"> Control de Calidad de Productos Hidrobiológicos</t>
  </si>
  <si>
    <t>5.4</t>
  </si>
  <si>
    <t>Promoción al Consumo Popular de Productos Hidrobiológicos</t>
  </si>
  <si>
    <t>5.5</t>
  </si>
  <si>
    <t>Fomento de la Gastronomía con Productos Pesqueros.</t>
  </si>
  <si>
    <t>INDUSTRIA</t>
  </si>
  <si>
    <t>8</t>
  </si>
  <si>
    <t>Capacitación y Difusión  del Ordenamiento Jurídico, para proteger la Salud de la Persona,  la del Medio Familiar y la de la Comunidad así como el deber de Contribuir a su Promoción y Defensa</t>
  </si>
  <si>
    <t>8.1</t>
  </si>
  <si>
    <t xml:space="preserve">Fortalecimiento de Capacidades Técnicas Interinstitucionales y Capacitación en Relación al Control del Alcohol Etílico y Bebidas Alcohólicas. 
</t>
  </si>
  <si>
    <t xml:space="preserve">Otorgamiento de Derechos Administrativos para la Erradicación, la Elaboración y Comercialización de Bebidas Alcohólicas  Informales no Aptas para Consumo Humano </t>
  </si>
  <si>
    <t>9.1</t>
  </si>
  <si>
    <t>Inscripción  y  Renovación en el   Registro  Único  de Alcohol Etílico</t>
  </si>
  <si>
    <t>Constancia</t>
  </si>
  <si>
    <t>9.2</t>
  </si>
  <si>
    <t>Actualización de la Información Proporcionada en la Inscripción en el Registro  Único de Alcohol Etílico</t>
  </si>
  <si>
    <t>9.3</t>
  </si>
  <si>
    <t>Cancelación de la Inscripción  en  Registro Único de Alcohol Etílico</t>
  </si>
  <si>
    <t>Anulación de la Inscripción  en el Registro Único de Alcohol Etílico</t>
  </si>
  <si>
    <t xml:space="preserve">Cierre de Libro y  Traslado de Autorización del Registro Especial </t>
  </si>
  <si>
    <t>Inscripción  en el Registro de Comercializadores de Bebidas Alcohólicas</t>
  </si>
  <si>
    <t xml:space="preserve">Constancia </t>
  </si>
  <si>
    <t xml:space="preserve">Actualización de la Información  Proporcionada  en la Inscripción  en el Registro  de Comercializadores de Bebidas Alcohólicas </t>
  </si>
  <si>
    <t xml:space="preserve">Cancelación de la Inscripción  en  Registro de Comercializadores de Bebidas Alcohólicas </t>
  </si>
  <si>
    <t xml:space="preserve">Anulación de la Inscripción  en el Registro  de Comercializadores de Bebidas Alcohólicas </t>
  </si>
  <si>
    <t>Evaluación de Informes o Actas de Verificación como Resultados de Acciones de Control, Supervisión y Fiscalización.</t>
  </si>
  <si>
    <t>10</t>
  </si>
  <si>
    <t xml:space="preserve">Servicios de Capacitación y Asistencia Técnica para las Empresas en Temas Productivos y el Mejoramiento de la Productividad y Competitividad </t>
  </si>
  <si>
    <t>10.1</t>
  </si>
  <si>
    <t xml:space="preserve">Brindar Capacitación y Asistencia Técnica a Trabajadores de las Empresas en Temas Productivos. </t>
  </si>
  <si>
    <t xml:space="preserve">Fortalecimiento de plataformas de desarrollo industrial </t>
  </si>
  <si>
    <t>Promoción al modelo CITE</t>
  </si>
  <si>
    <t>Fortalecimiento de la Gestión Industrial en el Ámbito Regional</t>
  </si>
  <si>
    <t>Identificación de proyectos industriales estratégicos con potencial de negocio</t>
  </si>
  <si>
    <t>Desarrollar Actividades de Articulación Productiva</t>
  </si>
  <si>
    <t>Promover la Realización y Participación en Ferias, Festivales u Otros Eventos 
Regionales e Internacionales en Materia de Industria con Participación de Empresas Compradoras y Proveedoras</t>
  </si>
  <si>
    <t>Ferias/Eventos</t>
  </si>
  <si>
    <t>Contribución  a la Gestión Regional en Materia de Industria</t>
  </si>
  <si>
    <t>13.1</t>
  </si>
  <si>
    <t>Promoción, Difusión, Fomento de la Aplicación de la Normatividad en Materia Ambiental, Participación en Espacios Intersectoriales.</t>
  </si>
  <si>
    <t>Consolidar y difundir servicios financieros existentes para el financiamiento de las empresas industriales</t>
  </si>
  <si>
    <t>Prácticas Ambientales en Acuicultura</t>
  </si>
  <si>
    <t>6.1</t>
  </si>
  <si>
    <t>Evaluación y Fiscalización Ambiental de Piscigranjas.</t>
  </si>
  <si>
    <t>6.2</t>
  </si>
  <si>
    <t>Certificaciones de Declaratoria de Impacto Ambiental . DIA</t>
  </si>
  <si>
    <t>Certificación</t>
  </si>
  <si>
    <t>6.3</t>
  </si>
  <si>
    <t>Monitoreo y Verificaciones Ambientales</t>
  </si>
  <si>
    <t>Elaboración de Estudios de Investigación con Especies Nativas.</t>
  </si>
  <si>
    <t>14.1</t>
  </si>
  <si>
    <t>Fortalecimiento de la Gestión Institucional de capacidades técnicas de gestión de recursos</t>
  </si>
  <si>
    <t>Promoción a la Constitución y Formalización de las Mypes y Cooperativas .</t>
  </si>
  <si>
    <t>Eventos de difusión y Capacitación en Temas de Desarrollo Empresarial Regional</t>
  </si>
  <si>
    <t>Asesoramiento y Asistencia Técnica Personalizada en Constitución y Formalización de las Mypes y Cooperativas.</t>
  </si>
  <si>
    <t>Usuarios</t>
  </si>
  <si>
    <t>Eventos de Promoción y Difusión para la Inscripción de MYPES en REMYPE y RENAMYPE</t>
  </si>
  <si>
    <t>Constitución y formalización de Mypes y cooperativas</t>
  </si>
  <si>
    <t>Elaboración de minutas de constitución de mypes y cooperativas</t>
  </si>
  <si>
    <t>Minuta</t>
  </si>
  <si>
    <t>Eventos/Ferias</t>
  </si>
  <si>
    <t>Actualizar el Registro Nacional de Asociaciones de Mypes en el Ámbito Regional.</t>
  </si>
  <si>
    <t>Promover, organizar la participación de Mypes en Ferias Empresariales a Nivel Regional.</t>
  </si>
  <si>
    <t>7.1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</si>
  <si>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</si>
  <si>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</si>
  <si>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</si>
  <si>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</si>
  <si>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</si>
  <si>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</si>
  <si>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</si>
  <si>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</si>
  <si>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</si>
  <si>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</si>
  <si>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</si>
  <si>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14.2</t>
  </si>
  <si>
    <t>14.3</t>
  </si>
  <si>
    <t xml:space="preserve">   Cursos</t>
  </si>
  <si>
    <t>2234112. Instalación de Servicios Turísticos Públicos en la zona Arqueológica Monumental Layzon y su Ámbito, Distrito, Provincia y Región Cajamarca</t>
  </si>
  <si>
    <t>CAJAMARCA</t>
  </si>
  <si>
    <t>Expediente Tecnico</t>
  </si>
  <si>
    <t>Aplicaciones informáticas para prestadores de servicios turísticos</t>
  </si>
  <si>
    <t>Verificar el cumplimiento de las normas de medio ambiente y preservación de recursos naturales, relacionados con la actividad turística (prestadores de servicios turísticos)</t>
  </si>
  <si>
    <t>Desarrollar circuitos turísticos que puedan convertirse en ejes de desarrollo regional (Ruta del Café, Ruta del Agua, Ruta Gastronómica, Ruta Binacional "Atahualpa")</t>
  </si>
  <si>
    <t>Plan Regional Artesanía</t>
  </si>
  <si>
    <t>Inscripción de artesanos en el RNA y RR</t>
  </si>
  <si>
    <t>Artesanos Inscritos</t>
  </si>
  <si>
    <t>Promover la provisión de servicios financieros a las empresas y organizaciones de la región, con énfasis en las medianas, Pymes y las unidades productivas orientadas al comercio y a las exportaciones, por parte del sector privado.</t>
  </si>
  <si>
    <t>Pago Es salud personal CAS</t>
  </si>
  <si>
    <t>TOTAL OBJETIVO ESTRATÉGICO ESPECÍFICO 2.2 ===&gt;</t>
  </si>
  <si>
    <t>Mejoramiento de la Gestión Turística Sostenible en el Ámbito Rural de Cutervo - Distrito de Santo Domingo de La Capilla.</t>
  </si>
  <si>
    <t>Implementación de la 
Oficina de Promocion del Desarrollo</t>
  </si>
  <si>
    <t>Fortalecimiento de Capacidades para la Elaboración del Plan de Desarrollo Turístico</t>
  </si>
  <si>
    <t>Fortalecimiento  y Asistencia Técnica a Gobiernos Locales</t>
  </si>
  <si>
    <t>Programa  de Acompañamiento a Gobiernos  Locales en la Promoción del Turismo</t>
  </si>
  <si>
    <t>SEDE REGIONAL -INFRAESTRUCTURA- SUB GERENCIA DE OPERACIONES</t>
  </si>
  <si>
    <t>2026619 Construcción Carretera Chimbán - Pión - Santa Rosa (Culminación de obras de arte)</t>
  </si>
  <si>
    <t>km.</t>
  </si>
  <si>
    <t>2060604: Construcción puente Las Paltas sobre el río Puclush</t>
  </si>
  <si>
    <t>Puente</t>
  </si>
  <si>
    <t>2031158 Construcción Carretera Shirac - Cañapata - Caruillo</t>
  </si>
  <si>
    <t>2131708 Construcción del Puente Peatonal Tolón - Yonán - Cajamarca</t>
  </si>
  <si>
    <t>SEDE REGIONAL -INFRAESTRUCTURA- SUB GERENCIA DE SUPERVISIÓN Y LIQUIDACIÓN DE OBRAS</t>
  </si>
  <si>
    <t>2147847 Mejoramiento Carretera CA-101, Tramo: Empalme PE-1NF (Contumazá) - Yetón</t>
  </si>
  <si>
    <t>Mejoramiento de Camino Vecinal Chiguirip - El Arenal - Chuyabamba - Puente Rojo, provincia de Chota - Cajamarca</t>
  </si>
  <si>
    <t>Km. de apertura de trocha 
carrozable</t>
  </si>
  <si>
    <t xml:space="preserve">Construcción, Mejoramiento,  del Camino Vecinal entre el tramo Cuce Inguer - Paltic - Sagasmache - La Colpa - Paric, distrito de Querocotillo - Cutervo - Cajamarca. </t>
  </si>
  <si>
    <t xml:space="preserve">Construcción trocha carrozable Cunuat - Quilucat, distrito de Cujillo - Cutervo - Cajamarca. </t>
  </si>
  <si>
    <t>DIRECCIÓN REGIONAL DE TRANSPORTES Y COMUNICACIONES</t>
  </si>
  <si>
    <t>Mantenimiento Rutinario Manual</t>
  </si>
  <si>
    <t>Mantenimiento rutinario manual La Conga - Jancos - San Miguel</t>
  </si>
  <si>
    <t>San Pablo - San Miguel</t>
  </si>
  <si>
    <t>Km</t>
  </si>
  <si>
    <t>Mantenimiento rutinario manual El Empalme - Llapa</t>
  </si>
  <si>
    <t>Mantenimiento rutinario manual Cajabamba - Dv. Jocos</t>
  </si>
  <si>
    <t>Mantenimiento rutinario manual Cruz Grande - Guzmango</t>
  </si>
  <si>
    <t>Mantenimiento rutinario manual Guzmango - San Benito</t>
  </si>
  <si>
    <t>Mantenimiento rutinario manual San Miguel - Dv. Pencayo</t>
  </si>
  <si>
    <t>Mantenimiento rutinario manual San Miguel - Llapa</t>
  </si>
  <si>
    <t>Mantenimiento rutinario manual Dv. Pencayo - San Gregorio</t>
  </si>
  <si>
    <t>Mantenimiento rutinario manual Emp. PE-3N (Pomabamba) - Chuquibamba - Araqueda - Corral Pampas - Sector Cocos</t>
  </si>
  <si>
    <t>Mantenimiento rutinario manual El Empalme - Catilluc - Tongod</t>
  </si>
  <si>
    <t>Mantenimiento rutinario manual Dv. Jocos - Pumacama - Lluchubamba</t>
  </si>
  <si>
    <t>Mantenimiento rutinario manual San Benito - Algarrobal</t>
  </si>
  <si>
    <t>Mantenimiento rutinario manual Algarrobal - L.D. La Libertad</t>
  </si>
  <si>
    <t>Mantenimiento rutinario manual San Gregorio - San Martín - L.D. La Libertad</t>
  </si>
  <si>
    <t>Mantenimiento rutinario manual Bambamarca - La Paccha - Chadín - Vista Hermosa</t>
  </si>
  <si>
    <t>Hualgayoc - Chota</t>
  </si>
  <si>
    <t>Mantenimiento rutinario manual Chota - La Palma - Conchán - Chigrip - Cutervo</t>
  </si>
  <si>
    <t>Chota - Cutervo</t>
  </si>
  <si>
    <t>Mantenimiento rutinario manual Lluchubamba - Marcamachay - Santa Rosa</t>
  </si>
  <si>
    <t>Mantenimiento rutinario manual Bambamarca - Atoshaico - Ramoscucho - Llanguat - Celendín</t>
  </si>
  <si>
    <t>Hualgayoc - Celendín</t>
  </si>
  <si>
    <t>Mantenimiento manual DV. Colcas - Chuquibamba</t>
  </si>
  <si>
    <t>Mantenimiento manual Emp. PE-3N (Cajabamba) - Emp. CA-111 (DV. Colcas)</t>
  </si>
  <si>
    <t>Elaboración de Expedientes Técnicos</t>
  </si>
  <si>
    <t>Supervisión Mantenimiento Rutinario Manual</t>
  </si>
  <si>
    <t>Monitoreo, Control y Liquidaciones</t>
  </si>
  <si>
    <t>Mantenimiento y Reparación de Equipo Mecánico</t>
  </si>
  <si>
    <t>Mantenimiento Rutinario Mecanizado</t>
  </si>
  <si>
    <t>Supervisión por Niveles de Servicio: Choropampa – Asunción – Cospán – Huayobamba</t>
  </si>
  <si>
    <t>Atención de Emergencias</t>
  </si>
  <si>
    <t>Mantenimiento Periódico</t>
  </si>
  <si>
    <t>Elaboración de Estudios de Mantenimiento Periódico</t>
  </si>
  <si>
    <t>Mantenimiento Periódico Bambamarca - La Paccha</t>
  </si>
  <si>
    <t>Mantenimiento Periódico DV. Pencayo - El Zapote (San Gregorio) - El Mirador</t>
  </si>
  <si>
    <t>Mantenimiento Periódico Guzmango - San Benito</t>
  </si>
  <si>
    <t>Mantenimiento Periódico Emp. PE-3N (Cutervo) - Chiguirip</t>
  </si>
  <si>
    <t>Mantenimiento Periódico La Palma - Chota</t>
  </si>
  <si>
    <t>Mantenimiento Periódico La Paccha - Chadín - Vista Hermosa</t>
  </si>
  <si>
    <t>Mantenimiento Periódico Sector Cocos - LD. La Libertad</t>
  </si>
  <si>
    <t>Circulación Terrestre - Actividades</t>
  </si>
  <si>
    <t>Capacitación en seguridad vial a conductores infractores</t>
  </si>
  <si>
    <t>Campañas de sensibilización a la comunidad sobre seguridad y educación vial</t>
  </si>
  <si>
    <t>Capacitación a usuarios de las vías en temas de educación en seguridad  vial</t>
  </si>
  <si>
    <t>Fiscalización al servicio de transporte terrestre de personas</t>
  </si>
  <si>
    <t>Intervención</t>
  </si>
  <si>
    <t xml:space="preserve">Fiscalización al servicio de transporte terrestre de personas-Jaén </t>
  </si>
  <si>
    <t>Emisión de licencias de conducir Clase A</t>
  </si>
  <si>
    <t>Licencia Otorgada</t>
  </si>
  <si>
    <t>Emisión de licencias de conducir Clase A-Jaén</t>
  </si>
  <si>
    <t>Otorgamiento de autorización por la autoridad competente para el transporte terrestre de pasajeros</t>
  </si>
  <si>
    <t>Otorgamiento de autorización por la autoridad competente para el transporte terrestre de pasajeros - Jaén</t>
  </si>
  <si>
    <t>Detección de puntos negros o tramos de concentración de accidentes</t>
  </si>
  <si>
    <t>Acciones Administrativas - Cajamarca</t>
  </si>
  <si>
    <t xml:space="preserve">Contrato administrativo de servicio (C.A.S.) </t>
  </si>
  <si>
    <t>Aguinaldos por fiestas patrias y navidad</t>
  </si>
  <si>
    <t>Bonificación por escolaridad</t>
  </si>
  <si>
    <t>Bonificación</t>
  </si>
  <si>
    <t>Contribuciones a ESSALUD DE CAS.</t>
  </si>
  <si>
    <t>Contribuciones</t>
  </si>
  <si>
    <t>Acciones Administrativas - Chota</t>
  </si>
  <si>
    <t>Acciones Administrativas - Jaén</t>
  </si>
  <si>
    <t>Pago de pensiones</t>
  </si>
  <si>
    <t>Mantenimiento de los Sistemas de Telecomunicaciones</t>
  </si>
  <si>
    <t>Mejoramiento de los Sistemas de Telecomunicaciones</t>
  </si>
  <si>
    <t>Sistemas</t>
  </si>
  <si>
    <t>Acciones administrativas de telecomunicaciones</t>
  </si>
  <si>
    <t>Mejoramiento de Camino vecinal</t>
  </si>
  <si>
    <t>Mejoramiento del servicio de transitabilidad vehicular de la Carretera Otuzco - Rinconada Otuzco - Otuzco La Victoria - Puylucana</t>
  </si>
  <si>
    <t>PROGRAMACIÓN Y EJECUCIÓN FÍSICA</t>
  </si>
  <si>
    <t>SAN MIGUEL</t>
  </si>
  <si>
    <t>CAJABAMBA</t>
  </si>
  <si>
    <t>SAN MARCOS</t>
  </si>
  <si>
    <t>CONTUMAZÁ</t>
  </si>
  <si>
    <t>CUTERVO</t>
  </si>
  <si>
    <t>SAN IGNACIO</t>
  </si>
  <si>
    <t xml:space="preserve">  Cajamarca</t>
  </si>
  <si>
    <t>2026124  Redes Primarias 22 9 KV, Redes Secundarias 460 230V y  conexiones domiciliarias caseríos de Llamapampa, Alto Perú, Pueblo Nuevo, San Mateo, Baños Quilcate y El Milagro - Tramo 1</t>
  </si>
  <si>
    <t>Conformidad de Obra</t>
  </si>
  <si>
    <t>Instalación de Transformadores</t>
  </si>
  <si>
    <t>Conexiones Energizadas</t>
  </si>
  <si>
    <t>Liquidación y Cierre</t>
  </si>
  <si>
    <t>Instalación de Transformador</t>
  </si>
  <si>
    <t>2027923 Electrificacion del caserio Pampa Iracushco.</t>
  </si>
  <si>
    <t>2045918 Electrificación Rural en la Microcuenca Muyoc Shitamalca</t>
  </si>
  <si>
    <t>2031376 Electrifiación rural Cabrero - Campana - Pingo Ogosgón Vista Alegre - Paucamonte</t>
  </si>
  <si>
    <t>2028728 Electrificación Rural Cajabamba(Subsanación de observaciones de obra)</t>
  </si>
  <si>
    <t>2027984 Electrificación Rural Cajabamba II Etapa - Fase 3 (Subsanación de observaciones de obra)</t>
  </si>
  <si>
    <t>2022282: Electrificación Rural Cajamarca Huacaríz, Agopampa, Amoshulca, Bellavista y Pariamarca</t>
  </si>
  <si>
    <t>Instalación línea primaria (KM)</t>
  </si>
  <si>
    <t>Instalación de red secundaria  (KM)</t>
  </si>
  <si>
    <t>Conexiones domiciliarias</t>
  </si>
  <si>
    <t>Instalación de la electrificación rural de las localidades de San Juan de Chiple, Nuevo Cavico, Nuevo Recodo y Cuyca Pimpingos</t>
  </si>
  <si>
    <t>Construcción del Sistema Eléctrico del Distrito Cochabamba Caseríos Llanduma, Huallpahuana, Santa Isolina y Segues - Cochabamba</t>
  </si>
  <si>
    <t>GERENCIA SUB REGIONAL DE CUTERVO -  PROYECTOS</t>
  </si>
  <si>
    <t>TOTAL OBJETIVO ESTRATÉGICO ESPECÍFICO 2.4 ===&gt;</t>
  </si>
  <si>
    <t>Mejoramiento del sistema de distribución secundaria 440/220 V., alumbrado público y conexiones domiciliarias del centro poblado Rosario de Chingama, distrito de Bellavista-Jaén-Cajamarca</t>
  </si>
  <si>
    <t xml:space="preserve">Sistema </t>
  </si>
  <si>
    <t>GERENCIA SUB REGIONAL DE JAÉN -  PROYECTOS</t>
  </si>
  <si>
    <t>Localidad</t>
  </si>
  <si>
    <t>Multipronvincial</t>
  </si>
  <si>
    <t>cajamarca</t>
  </si>
  <si>
    <t>Jaen</t>
  </si>
  <si>
    <t>jaen</t>
  </si>
  <si>
    <t>Formuladora</t>
  </si>
  <si>
    <t>2001621 Estudios de pre-inversión</t>
  </si>
  <si>
    <t>2156767 Instalación del sistema eléctrico rural de las localidades Saldabamba Bajo, Pilcamarca y Picacho distrito de Cachachi provincia Cajabamba - Cajamarca</t>
  </si>
  <si>
    <t>2157118 Instalación del sistema eléctrico rural de las localidades Chingol, Pacay, Sirca y Saldabamba Centro distrito de Cachachi provincia Cajabamba.</t>
  </si>
  <si>
    <t>2157157 Instalación del sistema eléctrico rural de las localidades San Luis, San Pedro, Malvas, Cuchillas y Saldabamba alto distrito de Cachachi provincia de Cajabamba.</t>
  </si>
  <si>
    <t>2001621 Estudios de pre-inversión - San Marcos</t>
  </si>
  <si>
    <t>2001621 Estudios de pre-inversión - Oncológico</t>
  </si>
  <si>
    <t>2157105 Instalación del sistema eléctrico rural de las localidades campamento Liclipampa, Condorcucho, Papagayos, San Antonio y Sigues distrito de Cajamarca</t>
  </si>
  <si>
    <t>2001621 Estudios de Pre-inversión - Cachachi</t>
  </si>
  <si>
    <t>2001621 Estudios de Pre-Inversión - Ponte Bajo</t>
  </si>
  <si>
    <t>2001621 Estudios de Pre-Inversión</t>
  </si>
  <si>
    <t>2027933 Electrificación rural Cajabamba III etapa - fase 1</t>
  </si>
  <si>
    <t>2050406 Construcción del sistema de electrificación rural del caserío El Triunfo, distrito de los Baños del Inca - Cajamarca - Cajamarca</t>
  </si>
  <si>
    <t>2130299 Instalación del sistema de electrificación rural del Caserío Alto Miraflores y mejoramiento de frontera eléctrica para las zonas aledañas, distrito de Cajamarca.</t>
  </si>
  <si>
    <t>2234220 Instalación del sistema eléctrico rural fase I para dieciséis localidades del distrito de Sitacocha</t>
  </si>
  <si>
    <t>2234221 Instalación del sistema eléctrico rural localidades El Milagro, Cochabamba, Huañimbita y la Arenilla, provincia de Cajabamba-Región Cajamarca</t>
  </si>
  <si>
    <t>2173336 Instalación del sistema eléctrico rural Pomahuaca - Bellavista - San Ignacio.</t>
  </si>
  <si>
    <t>2156147 Instalación del sistema eléctrico rural de las localidades Ponte Bajo, Chirimoyo, Huañimba, Matibamba, Pomabamba, La Isla y Ponte Alto provincia Cajabamba -Cajamarca.</t>
  </si>
  <si>
    <t>2145935 Instalación del servicio de energía eléctrica en San Martín - Valillo, distrito de Jaén, provincia de Jaén - Cajamarca</t>
  </si>
  <si>
    <t>2157104 instalación del sistema eléctrico rural de las localidades Santa Luisa, Moyán Bajo y San Francisco distrito de Cachachi provincia Cajabamba - Cajamarca.</t>
  </si>
  <si>
    <t>2156767 Instalación del sistema eléctrico rural de las localidades Saldabamba Bajo, Pilcaymarca y Picacho distrito de Cachachi provincia Cajabamba - Cajamarca.</t>
  </si>
  <si>
    <t>2130299 Instalación del sistema de electrificación rural del Caserío Alto Miraflores y mejoramiento de frontera eléctrica para las zonas aledañas, distrito de Baños del Inca- Cajamarca-Cajamarca.</t>
  </si>
  <si>
    <t>2027933 Electrificación rural Cajabamba III etapa - fase 1.</t>
  </si>
  <si>
    <t>2001621 Estudios de pre-inversión.</t>
  </si>
  <si>
    <t>2001621 Estudios de pre-inversión - Ponte Bajo</t>
  </si>
  <si>
    <t>2001621 Estudios de pre-inversión - Cachachi</t>
  </si>
  <si>
    <t>2157157 Instalación del sistema eléctrico rural de las localidades San Luis, San Pedro, Malvas, Cuchillas y Saldabamba alto distrito de Cachachi provincia Cajabamba-Cajamarca.</t>
  </si>
  <si>
    <t>2157118 Instalación del sistema eléctrico rural de las localidades Chingol, Pacay, Sirca y Saldabamba centro distrito de Cachachi provincia Cajabamba - Cajamarca</t>
  </si>
  <si>
    <t>2157105 Instalación del sistema eléctrico rural de las localidades Campamento Liclipampa, Condorcucho, Pampatayos, San Antonio y Siguis distrito de Cachachi provincia Cajabamba-Cajamarca</t>
  </si>
  <si>
    <t>2092467 Sistema Eléctrico Rural Cajabamba III etapa</t>
  </si>
  <si>
    <t>2093136 Sistema Eléctrico Rural Villa Santa Rosa II etapa</t>
  </si>
  <si>
    <t>2093137 Sistema Eléctrico Rural Villa Santa Rosa</t>
  </si>
  <si>
    <t>2093138 Sistema Eléctrico Rural Querocoto Huambos II etapa</t>
  </si>
  <si>
    <t>2094918 Sistema Eléctrico Rural San Ignacio IV etapa</t>
  </si>
  <si>
    <t>2095007 Sistema Eléctrico Rural Cajamarca eje Asunción - II etapa</t>
  </si>
  <si>
    <t>2095008 Sistema Eléctrico Rural Cajamarca, eje Asunción III etapa</t>
  </si>
  <si>
    <t>2095009 Sistema Eléctrico Rural Celendín IV etapa</t>
  </si>
  <si>
    <t>2095010 Sistema Eléctrico Rural Chilete IV etapa</t>
  </si>
  <si>
    <t>2095011 Sistema Eléctrico Rural Cutervo II etapa</t>
  </si>
  <si>
    <t>2095012 Sistema Eléctrico Rural Cutervo III etapa</t>
  </si>
  <si>
    <t>2095013 Sistema Eléctrico Rural Cutervo IV etapa</t>
  </si>
  <si>
    <t>2095014 Sistema eléctrico rural de Cajabamba II etapa</t>
  </si>
  <si>
    <t>2095015 Sistema eléctrico rural Jaén II etapa</t>
  </si>
  <si>
    <t>2095016 Sistema eléctrico rural Jaén III etapa</t>
  </si>
  <si>
    <t>2095017 Sistema eléctrico rural San Ignacio II etapa</t>
  </si>
  <si>
    <t>2095018 Sistema eléctrico rural San Ignacio III etapa</t>
  </si>
  <si>
    <t>2095019 Sistema eléctrico rural San Marcos - II etapa</t>
  </si>
  <si>
    <t>2095020 Sistema eléctrico rural San Marcos III etapa</t>
  </si>
  <si>
    <t>PROGRAMAS REGIONALES -PROREGION - PROYECTOS</t>
  </si>
  <si>
    <t>TOTAL OBJETIVO ESTRATÉGICO ESPECÍFICO 2.5 ===&gt;</t>
  </si>
  <si>
    <t>2151982. Instalación del Sistema de Riego Lluchubamba, Distrito de Sitacocha - Cajabamba - Cajamarca</t>
  </si>
  <si>
    <t>Proyecto de Riego</t>
  </si>
  <si>
    <t>2132783. Construcción y Mejoramiento Canal Santa Ana, Distrito Sitacocha, Cajabamba, Cajamarca.</t>
  </si>
  <si>
    <t>2232075. Mejoramiento e Instalación del Servicio de Agua del Sistema de Riego en los Canales Molino Cunish - la Laguna y Canal Molino Sangal Pampas.</t>
  </si>
  <si>
    <t>Proyecto de Riego- Expediente Técnico</t>
  </si>
  <si>
    <t>2192226. Mejoramiento del Servicio de Agua para el Sistema de Riego del Centro Poblado Huambocancha Alta, Caserío Plan Porconcillo y Caserío Porconcillo.</t>
  </si>
  <si>
    <t xml:space="preserve">Acciones de la Sub Gerencia de Promoción de la Inversión Privada </t>
  </si>
  <si>
    <t>Firma de Convenio PSI</t>
  </si>
  <si>
    <t>Entrega de 26 Proyectos de Riego</t>
  </si>
  <si>
    <t>Coordinación PSI para la elaboración del Programa Regional de Riego Tecnificado</t>
  </si>
  <si>
    <t>TDR</t>
  </si>
  <si>
    <t>Elaboración de Propuesta Técnica: Mantenimiento de Infraestructura de Riego canal la Mishca Chica y Mishca Grande, Chetilla</t>
  </si>
  <si>
    <t>Formación del Comité de Fomento de la Inversión Privada</t>
  </si>
  <si>
    <t>Gestión dela promoción de la inversión privada para el desarrollo regional (Obras por impuestos) CAS</t>
  </si>
  <si>
    <t xml:space="preserve">GERENCIA REGIONAL DE DESARROLLO ECONÓMICO </t>
  </si>
  <si>
    <t>GERENCIA REGIONAL  -  PROYECTOS</t>
  </si>
  <si>
    <t>2159825. Mejoramiento e Instalación del Servicio de Agua del Sistema de Riego del Caserío de Santa Catalina, Distrito de Cupisnique, Provincia de Contumazá.</t>
  </si>
  <si>
    <t xml:space="preserve">SUB GERENCIA DE PROMOCIÓN DE LA INVERSIÓN PRIVADA -ACTIVIDADES </t>
  </si>
  <si>
    <t>Electrificación Rural márgen derecha Izquierda rio Chinchipe</t>
  </si>
  <si>
    <t>2111453 Gestión del programa y otros - ampliación de la frontera eléctrica III etapa- Pafe III</t>
  </si>
  <si>
    <t>2157104 Instalación del sistema eléctrico rural de las localidades Santa Luisa, Moyán Bajo y San Francisco distrito de Cachachi provincia Cajabamba - Cajamarca.</t>
  </si>
  <si>
    <t>Canal</t>
  </si>
  <si>
    <t>GERENCIA SUB REGIONAL JAÉN - PROYECTOS</t>
  </si>
  <si>
    <t>2094793: Mejoramiento Canal de Irrigación Malcas II Etapa</t>
  </si>
  <si>
    <t>GERENCIA REGIONAL DE INFRAESTRUCTURA- SUB GERENCIA DE SUPERVISIÓN Y LIQUIDACIÓN DE OBRAS</t>
  </si>
  <si>
    <t>Mejoramiento Canal Ocshawilca - Llama</t>
  </si>
  <si>
    <t>Ml</t>
  </si>
  <si>
    <t>2232263 Mejoramiento  y ampliación  del servicio de agua para riego Canal Quilish, La Paccha, Caserío San Antonio, Plan Tual, C.P.Huambocancha Alto-Cajamarca</t>
  </si>
  <si>
    <t>DIRECCIÓN REGIONAL DE AGRICULTURA CAJAMARCA - PROYECTOS</t>
  </si>
  <si>
    <t>2159826 Mejoramiento e Instalación de Riego Tecnificado en el C.P. Cumbico, distrito Magdalena, provincia Cajamarca</t>
  </si>
  <si>
    <t>Mejoramiento de irrigación e instalación de riego tecnificado por aspersión CP. Morán Lirio, Distrito de Hualgayoc, Provincia de Hualgayoc - Cajamarca</t>
  </si>
  <si>
    <t>21937774 Mejoramiento del sistema de agua para riego en los sectores de Carniche Bajo, Carniche Alto y Huanabal, distrito Llama, provincia Chota.</t>
  </si>
  <si>
    <t>Instalación del servicio de agua para riego en el centro poblado Salacat, distrito  Sorochuco, provincia Celendín, Región Cajamarca</t>
  </si>
  <si>
    <t>Sistema de riego</t>
  </si>
  <si>
    <t>GLB</t>
  </si>
  <si>
    <t>0</t>
  </si>
  <si>
    <t>Obras Preliminares</t>
  </si>
  <si>
    <t>Estructuras de Captación</t>
  </si>
  <si>
    <t>Mano de Obra ( No Calificada)</t>
  </si>
  <si>
    <t>Canal de derivación entubado</t>
  </si>
  <si>
    <t>Laterales</t>
  </si>
  <si>
    <t>Equipo móvil de aspersión</t>
  </si>
  <si>
    <t>Desarenador</t>
  </si>
  <si>
    <t>Gastos de supervisión</t>
  </si>
  <si>
    <t>Horas/
Hombre</t>
  </si>
  <si>
    <t>Captación</t>
  </si>
  <si>
    <t>Trabajos preliminares</t>
  </si>
  <si>
    <t>Mano de Obra</t>
  </si>
  <si>
    <t>Caja de canal</t>
  </si>
  <si>
    <t>Km.</t>
  </si>
  <si>
    <t>Modificatoria para adicional de obra</t>
  </si>
  <si>
    <t>Mejoramiento de la infraestructura Canal de Riego Zonanga Alto, Distrito y provincia Jaén - Cajamarca</t>
  </si>
  <si>
    <t>TOTAL OBJETIVO ESTRATÉGICO ESPECÍFICO 3.2 ===&gt;</t>
  </si>
  <si>
    <t>Área de hidrocarburos</t>
  </si>
  <si>
    <t>Fiscalización a establecimientos informales  dedicados al expendio de combustibles líquidos y gas licuado de petróleo para su formalización.</t>
  </si>
  <si>
    <t>Región Cajamarca</t>
  </si>
  <si>
    <t>Evaluación  de IGA</t>
  </si>
  <si>
    <t>Evento de capacitación</t>
  </si>
  <si>
    <t>Concesión de Petitorios Mineros</t>
  </si>
  <si>
    <t>Concesión</t>
  </si>
  <si>
    <t>Autorización para Inicio de actividades de exploración para Pequeña Minería y Pequeña Minería Artesanal</t>
  </si>
  <si>
    <t>Autorización para exploración</t>
  </si>
  <si>
    <t>Evaluación Técnica de Certificados de Operación Minera (COM) para Plan de Minado (PM) y Plan de Manejo Ambiental (PMA).</t>
  </si>
  <si>
    <t>Evaluación Técnica de Certificados de Operación Minera Excepcional (COME) para PM y PMA</t>
  </si>
  <si>
    <t>Evaluación y aprobación de Instrumentos de Gestión Ambiental para Pequeña Minería (PM) y Minería Artesanal (PMA)</t>
  </si>
  <si>
    <t>Instrumento de Gestión Ambiental</t>
  </si>
  <si>
    <r>
      <t xml:space="preserve">4 </t>
    </r>
    <r>
      <rPr>
        <vertAlign val="superscript"/>
        <sz val="10"/>
        <color theme="1"/>
        <rFont val="Calibri"/>
        <family val="2"/>
        <scheme val="minor"/>
      </rPr>
      <t>(2)</t>
    </r>
  </si>
  <si>
    <t>Fiscalización Ambiental de PM y PMA</t>
  </si>
  <si>
    <t>Fiscalización a unidad minera</t>
  </si>
  <si>
    <t>Supervisión Ambiental de Minería Informal e Ilegal</t>
  </si>
  <si>
    <t>Supervisión unidad minera</t>
  </si>
  <si>
    <r>
      <t xml:space="preserve">37 </t>
    </r>
    <r>
      <rPr>
        <vertAlign val="superscript"/>
        <sz val="10"/>
        <color theme="1"/>
        <rFont val="Calibri"/>
        <family val="2"/>
        <scheme val="minor"/>
      </rPr>
      <t>(3)</t>
    </r>
  </si>
  <si>
    <r>
      <rPr>
        <b/>
        <sz val="10"/>
        <color theme="1"/>
        <rFont val="Calibri"/>
        <family val="2"/>
        <scheme val="minor"/>
      </rPr>
      <t>TRANSMISIÓN ELÉCTRICA</t>
    </r>
    <r>
      <rPr>
        <sz val="10"/>
        <color theme="1"/>
        <rFont val="Calibri"/>
        <family val="2"/>
        <scheme val="minor"/>
      </rPr>
      <t>: Evaluación de Instrumentos de Gestión Ambiental (IGA):  Términos de Referencia, Planes de Participación Ciudadana, EIAs, DIAs, Solicitud Concesiones, EVAP.</t>
    </r>
  </si>
  <si>
    <t>Instrumentos de Gestión Ambiental evaluado</t>
  </si>
  <si>
    <r>
      <rPr>
        <b/>
        <sz val="10"/>
        <color theme="1"/>
        <rFont val="Calibri"/>
        <family val="2"/>
        <scheme val="minor"/>
      </rPr>
      <t>DISTRIBUCIÓN ELÉCTRICA</t>
    </r>
    <r>
      <rPr>
        <sz val="10"/>
        <color theme="1"/>
        <rFont val="Calibri"/>
        <family val="2"/>
        <scheme val="minor"/>
      </rPr>
      <t>: Evaluación de Instrumentos Ambientales:  Términos de Referencia, Planes de Participación Ciudadana, EIAs, DIAs, Solicitud Concesiones, EVAP.</t>
    </r>
  </si>
  <si>
    <t>Registro de instrumentos de Gestión Ambiental Correctivo (IGAC) en el Sistema de Ventanilla Única del MEM</t>
  </si>
  <si>
    <r>
      <t>60</t>
    </r>
    <r>
      <rPr>
        <vertAlign val="superscript"/>
        <sz val="10"/>
        <color theme="1"/>
        <rFont val="Calibri"/>
        <family val="2"/>
        <scheme val="minor"/>
      </rPr>
      <t>(1)</t>
    </r>
  </si>
  <si>
    <t>Elaboración de informes legales en Procedimientos Administrativos Sancionadores y otros: nulidad de resolución, elevación de recurso de apelación, comisión de servicios, solicitudes de notificación formal de resolución administrativa, recursos de reconsideración, análisis objetivo de imputación de cargos y descargos, etc.</t>
  </si>
  <si>
    <t>Informe Legal</t>
  </si>
  <si>
    <r>
      <t>17</t>
    </r>
    <r>
      <rPr>
        <vertAlign val="superscript"/>
        <sz val="10"/>
        <color theme="1"/>
        <rFont val="Calibri"/>
        <family val="2"/>
        <scheme val="minor"/>
      </rPr>
      <t>(1)</t>
    </r>
  </si>
  <si>
    <t>Evaluación de Declaraciones de Impacto Ambiental</t>
  </si>
  <si>
    <t>Evaluación de Expediente</t>
  </si>
  <si>
    <r>
      <t>695</t>
    </r>
    <r>
      <rPr>
        <vertAlign val="superscript"/>
        <sz val="10"/>
        <color theme="1"/>
        <rFont val="Calibri"/>
        <family val="2"/>
        <scheme val="minor"/>
      </rPr>
      <t>(1)</t>
    </r>
  </si>
  <si>
    <t>DIRECCIÓN REGIONAL DE ENERGÍA Y MINAS</t>
  </si>
  <si>
    <r>
      <t xml:space="preserve">(2)     </t>
    </r>
    <r>
      <rPr>
        <sz val="8"/>
        <color theme="1"/>
        <rFont val="Calibri"/>
        <family val="2"/>
        <scheme val="minor"/>
      </rPr>
      <t>No es un dato programable en el POI, se atiende conforme a requerimientos externos de aprobación de IGACs acumulados a la fecha del reporte</t>
    </r>
  </si>
  <si>
    <r>
      <t xml:space="preserve">(3)     </t>
    </r>
    <r>
      <rPr>
        <sz val="8"/>
        <color theme="1"/>
        <rFont val="Calibri"/>
        <family val="2"/>
        <scheme val="minor"/>
      </rPr>
      <t>No es un dato programable en el POI, se realiza conforme a las necesidades</t>
    </r>
  </si>
  <si>
    <r>
      <t xml:space="preserve">(1)     </t>
    </r>
    <r>
      <rPr>
        <sz val="8"/>
        <color theme="1"/>
        <rFont val="Calibri"/>
        <family val="2"/>
        <scheme val="minor"/>
      </rPr>
      <t>No es una meta programable en el POI, se atiende conforme a requerimientos externos de petitorios acumulados a la fecha del reporte</t>
    </r>
  </si>
  <si>
    <r>
      <t xml:space="preserve">(4)     </t>
    </r>
    <r>
      <rPr>
        <sz val="8"/>
        <color theme="1"/>
        <rFont val="Calibri"/>
        <family val="2"/>
        <scheme val="minor"/>
      </rPr>
      <t>No es un dato programable en el POI por ser una demanda impredecible, se atiende conforme a requerimientos externos acumulados de evaluación de Instrumentos de Gestión Ambiental</t>
    </r>
  </si>
  <si>
    <t>Área de minería y concesiones (para la Pequeña Minería y Pequeña Minería Artesanal)</t>
  </si>
  <si>
    <t>Área de asuntos ambientales (para la Pequeña Minería y Pequeña Minería Artesanal)</t>
  </si>
  <si>
    <t>Área de electricidad (para la generación, transporte y distribución de energía eléctrica)</t>
  </si>
  <si>
    <t>Área de ventanilla única (Para la formalización del pequeño productor minero (PPM) y pequeño minero artesanal)</t>
  </si>
  <si>
    <r>
      <t xml:space="preserve">(1)     </t>
    </r>
    <r>
      <rPr>
        <sz val="8"/>
        <color theme="1"/>
        <rFont val="Calibri"/>
        <family val="2"/>
        <scheme val="minor"/>
      </rPr>
      <t>No es un dato programable en el POI por ser una demanda impredecible, se realiza de acuerdo a los pedidos presentados por los administrados y derivados al área VU</t>
    </r>
  </si>
  <si>
    <t>Evaluación de Instrumentos de Gestión Ambiental (IGA) en el sector Hidrocarburos: Declaraciones de Impacto Ambiental (DIA), Informes Técnicos Sustentatorios (ITS), Planes de Abanono. Incluye subsanación de observaciones IGA anteriores.</t>
  </si>
  <si>
    <t>GERENCIA REGIONAL DE RECURSOS NATURALES Y GESTIÓN DEL MEDIO AMBIENTE</t>
  </si>
  <si>
    <t>Publicación y difusión de la Estrategia Regional frente al Cambio Climático</t>
  </si>
  <si>
    <t>Caracterización de la Cuenca Jequetepeque – Zaña (Ámbito Cajamarca)</t>
  </si>
  <si>
    <t>Sistematización y elaboración del expediente de creación del Consejo de Recursos Hídricos de la Cuenca Jequetepeque – Zaña</t>
  </si>
  <si>
    <t>Acompañamiento Monitoreo de Calidad Ambiental en la Cuenca del Río Mashcón – Proyecto de Investigación en Calidad Ambiental (Convenio con la UNMSM)</t>
  </si>
  <si>
    <t>Formar Comités de Vigilancia Ambiental a nivel de Comunidad en las cuencas del río Mashcón</t>
  </si>
  <si>
    <t>Comités</t>
  </si>
  <si>
    <t>Jaén, San Ignacio y Cutervo</t>
  </si>
  <si>
    <t>Mejoramiento de la Gestión Institucional del Recurso Hidrico y el Ambiente en Cuencas de las provincias de Cajamarca, San Pablo, San Miguel, San Marcos, Cajabamba y Contumazá en la Región Cajamarca.</t>
  </si>
  <si>
    <t>Recuperación del Servicio Ambiental de Regulación de suelos en la Zona de Amortiguamiento del Santuario Tabaconas Namballe, San Ignacio, Cajamarca</t>
  </si>
  <si>
    <t xml:space="preserve">Mejoramiento de los Servicios de Gestión Ambiental en la Gerencia Regional de Recursos Naturales y Gestión del Medio Ambiente </t>
  </si>
  <si>
    <t>Reforestación en las Zonas Altoandinas de las provincias de San Pablo y San Miguel, Cajamarca</t>
  </si>
  <si>
    <t>San Pablo y San Miguel</t>
  </si>
  <si>
    <t>Unidad Formuladora – RENAMA</t>
  </si>
  <si>
    <t>Meta 60: Unidad Formuladora</t>
  </si>
  <si>
    <t>0002 Gestión del Programa</t>
  </si>
  <si>
    <t>0003 Capacitación y asistencia técnica en Gestión de los Recursos Naturales y de la Diversidad Biológica en los Tres Niveles de Gobierno</t>
  </si>
  <si>
    <t>Asistencia técnica para la Elaboración, actualización e implementación de los instrumentos de gestión ambiental municipal.</t>
  </si>
  <si>
    <t>0004 Generación, administración y difusión del sistema de monitoreo del estado de los recursos naturales y diversidad biológica</t>
  </si>
  <si>
    <t>0005 Implementación de alternativas de manejo sostenible de recursos naturales y sistemas productivos sostenibles</t>
  </si>
  <si>
    <t>Laboratorio del Agua</t>
  </si>
  <si>
    <r>
      <rPr>
        <b/>
        <sz val="10"/>
        <color theme="1"/>
        <rFont val="Calibri"/>
        <family val="2"/>
        <scheme val="minor"/>
      </rPr>
      <t xml:space="preserve">OBJETIVO ESTRATÉGICO GENERAL     :  </t>
    </r>
    <r>
      <rPr>
        <sz val="10"/>
        <color theme="1"/>
        <rFont val="Calibri"/>
        <family val="2"/>
        <scheme val="minor"/>
      </rPr>
      <t>3. Gobierno Regional gestiona y promueve en los actores públicos y privados el uso, ocupación y aprovechamiento sostenible de los RR.NN. y Biodiversidad del Territorio bajo el enfoque de cuenca en concordancia con la ZEE.</t>
    </r>
  </si>
  <si>
    <t>Estudios</t>
  </si>
  <si>
    <t>TOTAL OBJETIVO ESTRATÉGICO ESPECÍFICO 4.1 ===&gt;</t>
  </si>
  <si>
    <t>TOTAL OBJETIVO ESTRATÉGICO ESPECÍFICO 3.3 ===&gt;</t>
  </si>
  <si>
    <t xml:space="preserve"> </t>
  </si>
  <si>
    <t>Propuestas de acuerdos de cooperación con otros gobiernos regionales y estrategias de acciones macroregionales</t>
  </si>
  <si>
    <t>Convenio Operatividad</t>
  </si>
  <si>
    <t>Servicio de Contrato de Administración de Servicios</t>
  </si>
  <si>
    <t>Contribuciones a Es salud de CAS</t>
  </si>
  <si>
    <t>Dictamen</t>
  </si>
  <si>
    <t>Recepción de documentos</t>
  </si>
  <si>
    <t>Acciones Administrativas de la Dirección de Administración</t>
  </si>
  <si>
    <t>CONTROL PREVIO -ACTIVIDADES</t>
  </si>
  <si>
    <t>Rendiciones de viáticos</t>
  </si>
  <si>
    <t>Acciones de bienestar social:  preventivo promocionales, asistenciales, de servicio e investigación: estudio socio económico.</t>
  </si>
  <si>
    <t>Beneficios sociales-documentos de gestión, procesos  de reconocimiento  por demandas judiciales(Pago a 8 personas repuestas).</t>
  </si>
  <si>
    <t>Escalafón, inventario, registro y atenciones, control actualización documentaria, declaraciones juradas,sustentacion,implementación. Gestión y otorgamiento chips de identificación personal CAS.</t>
  </si>
  <si>
    <t xml:space="preserve">Gestión permanente: Respuesta y accesorios, papelería en general, útiles y materiales de oficina, libros, diarios, revistas y otros bienes de impresión, pasajes y gastos de transporte, viáticos y asignaciones por comisiones de servicio, servicios de publicidad, gastos notariales, otros seguros de bienes muebles e inmuebles, otros servicios similares. </t>
  </si>
  <si>
    <t>Fortalecimiento en capacitación al personal de Patrimonio de las Unidades Ejecutoras</t>
  </si>
  <si>
    <t>implementacion de la nueva oficina de Patrimonio</t>
  </si>
  <si>
    <t>Saneamiento de inmuebles (2 inmuebles de Chilete y 1 , el Poroporo, Santa Cruz)</t>
  </si>
  <si>
    <t xml:space="preserve">Identificación, clasificación, codificación y transferencia de bienes de los almacenes de Patrimonio a las diferentes entidades estatales del ámbito Regional </t>
  </si>
  <si>
    <t>Derechos administrativos (pagos de tasas a SADCAJ de los Predios de la Sede del Gobierno Regional  y  cambio de titularidad de vehículos transferidos del MTC - LIMA al Gobierno Regional  Cajamarca</t>
  </si>
  <si>
    <t>Órden de compra</t>
  </si>
  <si>
    <t>Reconocimiento de deudas pendientes por mantenimiento/repuestos de camionetas 2014</t>
  </si>
  <si>
    <t>Renovación de Equipos del Auditorio</t>
  </si>
  <si>
    <t>Limpieza y Mantenimiento de tanque de agua</t>
  </si>
  <si>
    <t xml:space="preserve">Elaboración de documentos normativos de gestión institucional y administrativa. (Directivas, Reglamentos y otros) </t>
  </si>
  <si>
    <r>
      <rPr>
        <sz val="10"/>
        <rFont val="Calibri"/>
        <family val="2"/>
        <scheme val="minor"/>
      </rPr>
      <t>Implementación de acciones sobre Simplificación Administrativa</t>
    </r>
    <r>
      <rPr>
        <b/>
        <sz val="10"/>
        <rFont val="Calibri"/>
        <family val="2"/>
        <scheme val="minor"/>
      </rPr>
      <t>.</t>
    </r>
  </si>
  <si>
    <t>Acciones de reforzamiento y asistencia técnica a entidades y dependencias del Gobierno Regional Cajamarca</t>
  </si>
  <si>
    <t>Elaboración Plan Anual DE</t>
  </si>
  <si>
    <t>Actualización documentos de Gestión Institucional: ROF, MOF, CAP</t>
  </si>
  <si>
    <t>Talleres Capacitación Formulación ROF</t>
  </si>
  <si>
    <t>Talleres Capacitación para actualización TUPA</t>
  </si>
  <si>
    <t>Actualización TUPA Gobierno Regional</t>
  </si>
  <si>
    <t>Capacitación, promoción y difusión en gestión administrativa e institucional</t>
  </si>
  <si>
    <t>Apoyo acciones de Contrataciones del Estado</t>
  </si>
  <si>
    <t>Proceso</t>
  </si>
  <si>
    <t>Actividades de difusión gráfica aspectos de gestión administrativa e institucional</t>
  </si>
  <si>
    <t xml:space="preserve">Boletín </t>
  </si>
  <si>
    <t>Derivación de documentos</t>
  </si>
  <si>
    <t>Evaluación de estudios de Pre inversión</t>
  </si>
  <si>
    <t>Declaratoria de Viabilidad de Estudios de Pre inversión</t>
  </si>
  <si>
    <t>Reuniones de Coordinación, Difusión y Asistencia Técnica</t>
  </si>
  <si>
    <t xml:space="preserve">Reunión </t>
  </si>
  <si>
    <t>Mantenimiento y Actualización del Sistema de Control de Evaluaciones de PIP´S</t>
  </si>
  <si>
    <t>Auditoría Interna al Sistema de Gestión de Calidad OPI</t>
  </si>
  <si>
    <t>Auditoría Externa al Sistema de Gestión de Calidad OPI</t>
  </si>
  <si>
    <t>Asesoramiento y acompañamiento a las 27 unidades ejecutoras que conforman el Pliego Presupuestal 445 Gobierno Regional, en la ejecución de gasto.</t>
  </si>
  <si>
    <t xml:space="preserve"> Seguimiento y aprobaciones de certificaciones presupuestales en el Sistema SIAF, Incorporación de los Saldos de Balance a nivel de Pliego, Incorporación de Créditos Presupuestales, Ingreso y aprobación de Notas de Modificación Presupuestal. </t>
  </si>
  <si>
    <t>Asignación y Programación de Compromisos Anual - PCA , ajustes internos de la PCA , incremento y/o disminución y distribución de la PCA  a nivel de Pliego.</t>
  </si>
  <si>
    <t>Capacitación y asesoramiento a las 27 Unidades Ejecutoras del Pliego 445: Gobierno Regional de Cajamarca, en cuanto al proceso presupuestario (Programación, formulación, sustentación, aprobación, ejecución y evaluación), según la normatividad vigente.</t>
  </si>
  <si>
    <t>Seguimiento a la ejecución del gasto , de las actividades y proyectos en ejecución, capacitación a las 27 Unidades Ejecutoras, elaboración y desarrollo de  talleres para la formulación presupuestal anual.</t>
  </si>
  <si>
    <t>Seguimiento y monitoreo  al Programa de Inversiones del Pliego, coordinaciones continuas  con las Unidades ejecutoras que ejecutan proyectos de Inversión Pública para alcanzar su programación de gasto mensual.</t>
  </si>
  <si>
    <t>Asignación presupuestal en función a las necesidades de las diferentes áreas de la sede regional  y de las demás Unidades  Ejecutoras (reserva presupuestal)</t>
  </si>
  <si>
    <t>Estudios y Proyectos</t>
  </si>
  <si>
    <t>Coordinar permanentemente con la  gobernación regional, alta dirección,  gerencias  regionales; para evaluar las metas presupuestarias de ingresos y gastos, a efectos de emitir informes sobre la ejecución presupuestal de inversiones y solicitud de códigos de proyectos mediante página web de presupuesto.</t>
  </si>
  <si>
    <t>Elaboración de documentos</t>
  </si>
  <si>
    <t>Acciones de Gerencia  de Infraestructura</t>
  </si>
  <si>
    <t xml:space="preserve">SEDE CAJAMARCA - GERENCIA REGIONAL DE INFRAESTRUCTURA </t>
  </si>
  <si>
    <t>Acciones de Gerencia de Desarrollo Social</t>
  </si>
  <si>
    <t>Planeamiento y Presupuesto</t>
  </si>
  <si>
    <t>Estudios de Pre Inversión</t>
  </si>
  <si>
    <t>Liquidación de Obras</t>
  </si>
  <si>
    <t>ACTIVIDADES</t>
  </si>
  <si>
    <t xml:space="preserve">GERENCIA SUB REGIONAL CHOTA </t>
  </si>
  <si>
    <t>Gestión de Proyecto</t>
  </si>
  <si>
    <t>PROYECTO</t>
  </si>
  <si>
    <r>
      <rPr>
        <b/>
        <sz val="10"/>
        <color theme="1"/>
        <rFont val="Calibri"/>
        <family val="2"/>
        <scheme val="minor"/>
      </rPr>
      <t>POLÍTICA PÚBLICA DEL GOBIERNO REGIONAL CAJAMARCA 2015-2018:</t>
    </r>
    <r>
      <rPr>
        <sz val="10"/>
        <color theme="1"/>
        <rFont val="Calibri"/>
        <family val="2"/>
        <scheme val="minor"/>
      </rPr>
      <t xml:space="preserve"> 4.1 Impulsar una gestión eficiente, articulada, moderna, transparente y participativa con enfoque territorial promotora del desarrollo integral y ambientalmente sostenible</t>
    </r>
  </si>
  <si>
    <t xml:space="preserve">GERENCIA SUB REGIONAL DE CUTERVO </t>
  </si>
  <si>
    <t>Contribuciones a Es Salud</t>
  </si>
  <si>
    <t>Aseo, limpieza y tocador.</t>
  </si>
  <si>
    <t>Viáticos y asignaciones por comisión de servicio.</t>
  </si>
  <si>
    <t>Servicio de agua y desagüe</t>
  </si>
  <si>
    <t>Servicio de Internet</t>
  </si>
  <si>
    <t xml:space="preserve">Seminarios, talleres y similares organizados </t>
  </si>
  <si>
    <t>Contribuciones a Es Salud de CAS.</t>
  </si>
  <si>
    <t xml:space="preserve">PROREGION </t>
  </si>
  <si>
    <t>Planeamiento, gestión y reserva de contingencia</t>
  </si>
  <si>
    <t>3000001 Acciones Comunes</t>
  </si>
  <si>
    <t xml:space="preserve">Registros </t>
  </si>
  <si>
    <t>Archivo, Legajo y Administración de Documentos de Interés Institucional (Resoluciones, Convenios, Adendas, Oficios, Cartas Notariales).</t>
  </si>
  <si>
    <t>Notificar Oficios, Resoluciones de Presidencia, Gerencia General, Gerencias Regionales y otra documentación.</t>
  </si>
  <si>
    <t>Contribucion a Essalud</t>
  </si>
  <si>
    <t>Asesorías - CEPAD</t>
  </si>
  <si>
    <t>Servicios Diversos</t>
  </si>
  <si>
    <t xml:space="preserve">Regimen de Pensiones </t>
  </si>
  <si>
    <t>Régimen de Pensiones</t>
  </si>
  <si>
    <t>Escolaridad, aguinaldos y gratificaciones</t>
  </si>
  <si>
    <t>Gastos de Sepelio y Luto</t>
  </si>
  <si>
    <t>Gestión Administrativa (Recursos Directamente 
Recaudados)</t>
  </si>
  <si>
    <t>Bienes y Servicios</t>
  </si>
  <si>
    <t>Atención de los Decretos Supremos que declaran en Estado de Emergencia a la región Cajamarca</t>
  </si>
  <si>
    <r>
      <rPr>
        <b/>
        <sz val="10"/>
        <color theme="1"/>
        <rFont val="Calibri"/>
        <family val="2"/>
        <scheme val="minor"/>
      </rPr>
      <t>POLÍTICA PÚBLICA DEL GOBIERNO REGIONAL CAJAMARCA 2015-2018:</t>
    </r>
    <r>
      <rPr>
        <sz val="10"/>
        <color theme="1"/>
        <rFont val="Calibri"/>
        <family val="2"/>
        <scheme val="minor"/>
      </rPr>
      <t xml:space="preserve"> 3.1 Implementar el Ordenamiento Territorial para la Gestión Sostenible del territorio en el marco del Nuevo Modelo de desarrollo Regional</t>
    </r>
  </si>
  <si>
    <t xml:space="preserve">PROGRAMA PRESUPUESTAL 0068: Entrega adecuada y oportuna de bienes de ayuda humanitaria por parte de las entidades gubernamentales                                                                                                                                                                                                                                                 </t>
  </si>
  <si>
    <t>De construcción y máquinas</t>
  </si>
  <si>
    <t>De máquinas y equipos</t>
  </si>
  <si>
    <t>Galón</t>
  </si>
  <si>
    <t>Apoyo emergencias y desastres</t>
  </si>
  <si>
    <r>
      <rPr>
        <b/>
        <sz val="10"/>
        <color theme="1"/>
        <rFont val="Calibri"/>
        <family val="2"/>
        <scheme val="minor"/>
      </rPr>
      <t>POLÍTICA PÚBLICA DEL GOBIERNO REGIONAL CAJAMARCA 2015-2018:</t>
    </r>
    <r>
      <rPr>
        <sz val="10"/>
        <color theme="1"/>
        <rFont val="Calibri"/>
        <family val="2"/>
        <scheme val="minor"/>
      </rPr>
      <t xml:space="preserve"> 4.1 Impulsar una gestión eficiente, articulada, moderna, transparente y participativa con enfoque territorial promorora del desarrollo integral y ambientalmente sostenible.</t>
    </r>
  </si>
  <si>
    <t>2001621.Estudios de Pre-Inversión(UF-061)</t>
  </si>
  <si>
    <t>2001621. Estudios de Pre-Inversión(081)</t>
  </si>
  <si>
    <t>Cadenas productivas</t>
  </si>
  <si>
    <t>UNIDAD FORMULADORA GERENCIA DE DESARROLLO ECONÓMICO</t>
  </si>
  <si>
    <t>Expedientes técnicos</t>
  </si>
  <si>
    <t xml:space="preserve">UNIDAD FORMULADORA DE LA GERENCIA REGIONAL DE DESARROLLO SOCIAL </t>
  </si>
  <si>
    <t>I</t>
  </si>
  <si>
    <t xml:space="preserve">POLITICA 01: DISMINUCION DE LA DESNUTRICION INFANTIL </t>
  </si>
  <si>
    <t>I-1</t>
  </si>
  <si>
    <t>I-2</t>
  </si>
  <si>
    <t>Formulación de estudios de Pre Inversión de Centros de Salud Estratégicos</t>
  </si>
  <si>
    <t>II</t>
  </si>
  <si>
    <t xml:space="preserve">POLITICA 02: EDUCACION INCLUSIVA DE CALIDAD EN TODOS LOS NIVELES Y MODALIDADES  </t>
  </si>
  <si>
    <t>II-1</t>
  </si>
  <si>
    <t>OBJETIVO 02: Incrementar el acceso a servicios integrales de salud con calidad y enfoque intercultural.</t>
  </si>
  <si>
    <t>OBJETIVO 01: Garantizar la educación de calidad inclusiva e intercultural y pertinente</t>
  </si>
  <si>
    <t>OBJETIVO 01: Mejorar la nutrición en niñas y niños menores de 5 años como madres gestantes y lactantes.</t>
  </si>
  <si>
    <t>Formulación de estudio de Pre Inversión: “Mejoramiento del Crecimiento y desarrollo de los niños y niñas desde la gestación hasta los 5 años de edad en la provincia de Celendín, Región Cajamarca”</t>
  </si>
  <si>
    <t>Formulación de estudio de Pre Inversión: “Mejoramiento del Crecimiento y desarrollo de los niños y niñas desde la gestación hasta los 5 años de edad en la provincia de Hualgayoc, Región Cajamarca”</t>
  </si>
  <si>
    <t>Formulación de estudios de Pre  Inversión en Nivel Inicial- Acceso Segundo Tramo ( Agosto - Diciembre )</t>
  </si>
  <si>
    <t>Formulación de estudios de Pre  Inversión en Nivel Secundario- Acceso Primer Tramo</t>
  </si>
  <si>
    <t>Formulación de estudios de Pre  Inversión en Nivel Inicial- Acceso Primer Tramo (Enero - Julio)</t>
  </si>
  <si>
    <t xml:space="preserve">SUB GERENCIA DE ESTUDIOS </t>
  </si>
  <si>
    <t>2231549 Mejoramiento del servicio de acceso sobre el río Silaco en la trocha carrozable La Ramada-Chimbán, distrito de Chimbán-Chota</t>
  </si>
  <si>
    <t>Puente carrozable</t>
  </si>
  <si>
    <t>2173472 Mejoramiento del servicio educativo en las instituciones educativas de nivel primario en las localidades de Chacapampa, El Suro, Tumbadén, en la provincia de San Pablo-Región Cajamarca</t>
  </si>
  <si>
    <t>3000131 Mantenimiento de infraestructura pública</t>
  </si>
  <si>
    <t>2112605 Evaluación Expediente Técnico del PIP: "Reconstrucción de La I.E. 82285-Cajabamba-Cajamarca"</t>
  </si>
  <si>
    <t>2112605 Elaboración de Expediente Técnico del PIP: "Reconstrucción de la I.E. 82285-Cajabamba-Cajamarca"</t>
  </si>
  <si>
    <t>2229635 Supervisión de Estudio definitivo del PIP: "Instalación del Sistema Eléctrico Rural Microcuenca Chirimoyo Cajamarquino-Cajamarca"</t>
  </si>
  <si>
    <t>2231794 Supervisión de Expediente Técnico Mejoramiento del Servicio Educativo en La I.E 821010, Centro Poblado San Isidro, José Sabogal, Provincia de San Marcos - Cajamarca</t>
  </si>
  <si>
    <t>2112981 Elaboración de Expediente Técnico definitivo del Proyecto: "Mejoramiento a Nivel de afirmado con tratamiento superficial de la Carretera DA 103-Emp, PE-06B (Santa Cruz de Succhubamba)-Romero Circa- La Laguna-Tongod-Catilluc-EN. PE-06C El Empalme"</t>
  </si>
  <si>
    <t>2135494 Electrificación rural de los caseríos Poquish y Chupica, distrito de San Bernardino, provincia de San Pablo- Cajamarca</t>
  </si>
  <si>
    <t>2122321 Supervisión de Expediente Técnico: Construcción del Centro de Educación Técnico Productivo - Cetpro Cajamarca, Provincia de Cajamarca -Cajamarca"</t>
  </si>
  <si>
    <t>2220635 Elaboración de Expediente Técnico del PIP: Instalación del Mercado Modelo en el CP. Chanta Alta - Distrito de La Encañada - Provincia de Cajamarca-Cajamarca</t>
  </si>
  <si>
    <t>GERENCIA REGIONAL DE INFRAESTRUCTURA</t>
  </si>
  <si>
    <t>2143158 Supervisión de Expediente Técnico del PIP: Reconstrucción de la Infraestructura y Equipamiento de la Reposición N° 16573 Raúl Porras Barrenechea de la Localidad Peña Blanca - Distrito San José del Alto-Jaén</t>
  </si>
  <si>
    <t>2143158 Elaboración de Expediente Técnico del PIP: Reconstrucción de la Infraestructura y Equipamiento de la Reposición N° 16573 Raúl Porras Barrenechea de la Localidad Peña Blanca - Distrito San José del Alto-Jaén</t>
  </si>
  <si>
    <t>2231851 Elaboración de Expediente Técnico Proyecto: Mejoramiento del Servicio Educativo en Instituciones Educativas de Nivel Primario en Localidades: El Tuco, Tuco Bajo, Nueva Esperanza, La Armada y Santa Rosa - Hualgayoc - Cajamarca.</t>
  </si>
  <si>
    <t>2227392 Elaboración del Expediente Técnico: Ampliación y Mejoramiento de la Institución Educativa Fernando Belaúnde Terry, distrito de Chetilla Cajamarca, Cajamarca”.</t>
  </si>
  <si>
    <t>2230543 Elaboración del Expediente Técnico del Proyecto: Mejoramiento de la Institución Educativa N° 82568 - Barrio Chin Guión, Tembladera - Yonán - Contumazá- Cajamarca</t>
  </si>
  <si>
    <t>2056020: Instalación de electrificación rural de los caseríos Pashul-Lloque-Hualanga, Distrito de Jesús - Cajamarca - Cajamarca</t>
  </si>
  <si>
    <t>2227436: Apertura de la carretera tramo Alimarca-Canlle-Chiquinda-Ulluypampa-Las Pajas, distrito de Gregorio Pita - San Marcos - Cajamarca.</t>
  </si>
  <si>
    <t>2078134: Construcción y mejoramiento de la Carretera PE - 3N (Bambamarca) - Paccha - Chimbán - Pión - L.D. con Amazonas (EMP. AM-103 El Triunfo)</t>
  </si>
  <si>
    <t>2236119: Mejoramiento  de los servicios educativos de la institución educativa Cristo Rey, provincia de Cajamarca - Cajamarca</t>
  </si>
  <si>
    <t>2229635 Elaboración de Estudio definitivo del PIP: "Instalación del Sistema Eléctrico Rural Microcuenca Chirimoyo Cajamarquino-Cajamarca"</t>
  </si>
  <si>
    <t>2125421 Elaboración de Perfil: Instalación Red de distribución Primaria 22.9 Kb y Red de Distribución Secundaria 380-220 V, Anexo Chisco Blanco Cp. Bancos, Distrito San Pablo, Provincia de San Pablo Cajamarca.</t>
  </si>
  <si>
    <t>2227804 Supervisión del Expediente: Construcción del Infraestructura I.E. N° 16482 Cp. Vergel, distrito La Coipa - Provincia de San Ignacio - Departamento de Cajamarca</t>
  </si>
  <si>
    <t>2230549 Elaboración de Expediente "Mejoramiento de la Línea Trifásica, en Los Tramos San Miguel - El Molino y El Molino - El Prado, Provincia de San Miguel - Cajamarca.</t>
  </si>
  <si>
    <t xml:space="preserve">2001621 Estudios de Pre Inversión </t>
  </si>
  <si>
    <t>2251273: Instalación del servicios educativo escolarizado del nivel inicial en las localidades de El Milagro, Mesapata, Higosbamba y Pucarita, en los distritos de Cachachi, Cajabamba y Sitacocha de la provincia de Cajabamba, Región Cajamarca</t>
  </si>
  <si>
    <t>2251556: Instalación del servicio educativo escolarizado del nivel Inicial de las localidades de la Capellanía, distrito de San Luis; Carrerapampa y las Vizcachas distrito de San Pablo; Maraypampa distrito de Tumbadén, Provicnia de san Pablo Región Cajamarca.</t>
  </si>
  <si>
    <t>2183268: Construcción Carretera Cortegana - San Antonio - El Calvario - Tres Cruces - Candén, distrito de Cortegana, provincia de Celendín - Cajamarca.</t>
  </si>
  <si>
    <t>2001621 Pago por servicios de evaluación y actualización de estudios de inversión-Varios</t>
  </si>
  <si>
    <t>Unidad Formuladora Proregion</t>
  </si>
  <si>
    <t xml:space="preserve">DIRECCIÓN COMUNICACIÓN Y RELACIONES PÚBLICAS -ACTIVIDADES </t>
  </si>
  <si>
    <t xml:space="preserve">La gestión del Plan de comunicación contribuye a posicionar al Gobierno Regional en la opinión pública regional y nacional </t>
  </si>
  <si>
    <t>Elaboración del Plan 2015</t>
  </si>
  <si>
    <t>Monitoreo del Plan 2015</t>
  </si>
  <si>
    <t>Monitoreos mensuales</t>
  </si>
  <si>
    <t>Evaluación del Plan 2015</t>
  </si>
  <si>
    <t>Buscar financiamiento para ejecutar el Plan 2015</t>
  </si>
  <si>
    <t xml:space="preserve">Producción de material periodístico y/o de imagen corporativa, para los distintos medios de comunicación, página web y redes sociales local, regional, nacional </t>
  </si>
  <si>
    <t>Producción de hasta 3 spots radiales por mes</t>
  </si>
  <si>
    <t>Spots</t>
  </si>
  <si>
    <t>Concertar al menos 8 entrevistas en vivo (radio y tv.) para los funcionarios del GRC.</t>
  </si>
  <si>
    <t>Entrevistas</t>
  </si>
  <si>
    <t xml:space="preserve">Producción de hasta 3 spots televisivos </t>
  </si>
  <si>
    <t xml:space="preserve">Producción de hasta 2 reportajes televisivos </t>
  </si>
  <si>
    <t>Reportajes</t>
  </si>
  <si>
    <t>Coordinar y producir hasta 40 notas de prensa.</t>
  </si>
  <si>
    <t>Coordinar la Producción Periodística de un (1) Boletín Institucional (trimestral)</t>
  </si>
  <si>
    <t>Construir el Banco de Imágenes de la Oficina.</t>
  </si>
  <si>
    <t>Banco</t>
  </si>
  <si>
    <t>Elaboración de hasta 2 afiches mensual</t>
  </si>
  <si>
    <t>Elaboración de 1 gigantografía (mes)</t>
  </si>
  <si>
    <t>Gigantografía</t>
  </si>
  <si>
    <t>Instalación de vallas publicitarias</t>
  </si>
  <si>
    <t>Vallas</t>
  </si>
  <si>
    <t>Actualización del Manual de Imagen Corporativa del GRC</t>
  </si>
  <si>
    <t>Manual</t>
  </si>
  <si>
    <t>Utilización de murales en la región para campañas del GRC</t>
  </si>
  <si>
    <t>Murales</t>
  </si>
  <si>
    <t>Elaboración de banners, trípticos y otros materiales gráficos</t>
  </si>
  <si>
    <t>Gráficos</t>
  </si>
  <si>
    <t>Realizar monitoreo diario de medios escritos, radiales y televisivos  de la región y nacionales y difundirlos electrónicamente.</t>
  </si>
  <si>
    <t>Monitoreos</t>
  </si>
  <si>
    <t>Elaboración de Resumen Mensual de Monitoreo de Noticias</t>
  </si>
  <si>
    <t>Resúmenes</t>
  </si>
  <si>
    <t>Elaboración de Prototipo de Página Web del GRC y dependencias.</t>
  </si>
  <si>
    <t>Página Web</t>
  </si>
  <si>
    <t>Difusión eficaz  y eficiente de las acciones y proyectos del GRC.</t>
  </si>
  <si>
    <t>Subir hasta 40 notas de prensa a la página web (2 notas por día)</t>
  </si>
  <si>
    <t>Actualización y monitoreo semanal de Periódicos Murales de la sede del GRC y dependencias.</t>
  </si>
  <si>
    <t>Periódicos Murales</t>
  </si>
  <si>
    <t>Coordinación y cobertura informativa de las actividades de Presidencia</t>
  </si>
  <si>
    <t>Vídeos, Notas de Prensa</t>
  </si>
  <si>
    <t>Publicación de anuncios publicitarios en prensa, radio, tv. y web.</t>
  </si>
  <si>
    <t>Anuncios</t>
  </si>
  <si>
    <t>Difusión periodística en redes sociales</t>
  </si>
  <si>
    <t>Distribución del Boletín Informativo bimestral del GRC.</t>
  </si>
  <si>
    <t>Boletines</t>
  </si>
  <si>
    <t>Coordinar una red de comunicadores del GRC para fortalecer el Sistema de Comunicación.</t>
  </si>
  <si>
    <t>Elaboración de un diagnóstico situacional de las oficinas de comunicación de toda región</t>
  </si>
  <si>
    <t>Implementación técnica y de recursos humanos de las oficinas de comunicación de la región.</t>
  </si>
  <si>
    <t>Oficinas implementadas</t>
  </si>
  <si>
    <t>Monitoreo de la Red de Comunicadores del GRC</t>
  </si>
  <si>
    <t>Brindar información pública, oportuna y transparente al público.</t>
  </si>
  <si>
    <t>Determinar responsable de Atención al Usuario.</t>
  </si>
  <si>
    <t>Realizar seguimiento a las solicitudes de información por parte de los ciudadanos de la región.</t>
  </si>
  <si>
    <t xml:space="preserve">Informes </t>
  </si>
  <si>
    <t>Actualización permanente del portal de acceso a la información pública.</t>
  </si>
  <si>
    <t>Portal actualizado</t>
  </si>
  <si>
    <t xml:space="preserve">Coordinar la realización de 2 Audiencias Públicas </t>
  </si>
  <si>
    <t>Audiencias Públicas</t>
  </si>
  <si>
    <t>Coordinar la difusión de los resultados de las Audiencias Públicas con la Red de Comunicación Regional (Provincias).</t>
  </si>
  <si>
    <t>Audiencias descentralizadas</t>
  </si>
  <si>
    <t xml:space="preserve">Fortalecer  los niveles de coordinación y articulación  de las Gerencias y Direcciones </t>
  </si>
  <si>
    <t>Producción y difusión de publicidad interna en sede y dependencias.</t>
  </si>
  <si>
    <t>Publicidad interna</t>
  </si>
  <si>
    <t>Realizar reuniones periódicas con Gerencias y Direcciones Regionales Sectoriales.</t>
  </si>
  <si>
    <t>Realizar actividades de integración del personal de la sede regional del GRC y dependencias</t>
  </si>
  <si>
    <t>Elaborar saludo a instituciones públicas y privadas de reconocimiento  local, regional y nacional en fechas importantes.</t>
  </si>
  <si>
    <t>Saludos</t>
  </si>
  <si>
    <t>Subir hasta 40 producciones de TV. a página Web Institucional</t>
  </si>
  <si>
    <t xml:space="preserve">Actualización del directorio regional y nacional. </t>
  </si>
  <si>
    <t xml:space="preserve">DIRECCIÓN REGIONAL DE CONTROL INSTITUCIONAL - ACTIVIDADES </t>
  </si>
  <si>
    <t>5000006 Acciones de Control y Auditoria</t>
  </si>
  <si>
    <t xml:space="preserve"> Multiprovincial</t>
  </si>
  <si>
    <t>Servicios de Control</t>
  </si>
  <si>
    <t>PIM (S/.)</t>
  </si>
  <si>
    <t xml:space="preserve">SUB GERENCIA DE PLANEAMIENTO Y CTI -ACTIVIDADES </t>
  </si>
  <si>
    <t>Elaboración del Plan Anual  2015 del Gobierno Regional de Cajamarca</t>
  </si>
  <si>
    <t>Formulación</t>
  </si>
  <si>
    <t xml:space="preserve">Sistematización </t>
  </si>
  <si>
    <t>Aprobación</t>
  </si>
  <si>
    <t>Actualización de las Políticas Públicas y Estrategia 2015 - 2018</t>
  </si>
  <si>
    <t>Formulación/Sistematización</t>
  </si>
  <si>
    <t xml:space="preserve">Consejo de Coordinación Regional </t>
  </si>
  <si>
    <t>Elección del Consejo de Coordinación Regional 2015-2016</t>
  </si>
  <si>
    <t>Comité.</t>
  </si>
  <si>
    <t>Fortalecimiento de capacidades del Consejo de Coordinación Regional 2015-2016</t>
  </si>
  <si>
    <t>Acopio de información para el informe gestión de los 100 días del GORECAJ</t>
  </si>
  <si>
    <t>Actualización del PDRC - CEPLAN</t>
  </si>
  <si>
    <t>Elaboración de la Propuesta del Plan de Trabajo</t>
  </si>
  <si>
    <t xml:space="preserve">Socialización y aprobación del Plan de Trabajo </t>
  </si>
  <si>
    <t>Reuniones de coordinación CEPLAN para la implementación del Plan de Trabajo</t>
  </si>
  <si>
    <t>Conformación de equipo técnico de trabajo</t>
  </si>
  <si>
    <t>Proceso Presupuesto Participativo Regional 2016</t>
  </si>
  <si>
    <t>Taller Regional de Rendición de Cuentas y Acuerdos de compromisos</t>
  </si>
  <si>
    <t>Emisión del documento del Proceso</t>
  </si>
  <si>
    <t>Plan Regional de Cooperación Internacional No Reembolsable 2012-2015</t>
  </si>
  <si>
    <t xml:space="preserve">Aprobación del Plan </t>
  </si>
  <si>
    <t>Evaluación del Plan Anual 2014 del Gobierno Regional de Cajamarca</t>
  </si>
  <si>
    <t>Elaboración del documento de Evaluación Plan Anual 2014</t>
  </si>
  <si>
    <t>Elaboración de la Memoria Institucional 2011-2014 GRC</t>
  </si>
  <si>
    <t>Desarrollo e Integración Fronteriza.</t>
  </si>
  <si>
    <t>Monitoreo y Evaluación a la implementación de los Acuerdos del Comité de Frontera Zamora Chinchipe - Cajamarca.</t>
  </si>
  <si>
    <t>10.2</t>
  </si>
  <si>
    <t>Conformación del Comité Regional de Desarrollo de Fronteras e Integración Fronteriza.</t>
  </si>
  <si>
    <t>10.3</t>
  </si>
  <si>
    <t>Asistencia Técnica para conformación del Comité Provincial de Frontera de San Ignacio.</t>
  </si>
  <si>
    <t>10.4</t>
  </si>
  <si>
    <t>Desarrollo de la VI Reunión de Frontera Zámora - Chinchipe</t>
  </si>
  <si>
    <t>11</t>
  </si>
  <si>
    <t>Fortalecimiento de la Institucionalidad de la Mancomunidad Regional del Qhapaq Ñan Nor Amazónico.</t>
  </si>
  <si>
    <t>11.1</t>
  </si>
  <si>
    <t>Asistencia Técnica a la Mesa Directiva de la Mancomunidad Regional - Desarrollo de Reuniones de trabajo.</t>
  </si>
  <si>
    <t>Evaluación del Plan Anual 2015 del Gobierno Regional de Cajamarca</t>
  </si>
  <si>
    <t>12.1</t>
  </si>
  <si>
    <t>Elaboración del documento de Evaluación al primer semestre</t>
  </si>
  <si>
    <t>Audiencias Públicas Regionales</t>
  </si>
  <si>
    <t>Elaboración de la I Audiencia Pública Regional 2015</t>
  </si>
  <si>
    <t>13.2</t>
  </si>
  <si>
    <t>Elaboración de la II Audiencia Pública Regional 2015</t>
  </si>
  <si>
    <t>Elaboración del Boletín Estadístico Regional</t>
  </si>
  <si>
    <t>15</t>
  </si>
  <si>
    <t>Actualización del PEI 2016 - 2018</t>
  </si>
  <si>
    <t>15.1</t>
  </si>
  <si>
    <t>15.2</t>
  </si>
  <si>
    <t>Elaboración del Plan Anual  2016 del Gobierno Regional de 
Cajamarca</t>
  </si>
  <si>
    <t>16.1</t>
  </si>
  <si>
    <t>16.2</t>
  </si>
  <si>
    <t>Gestión de la Cooperación Internacional</t>
  </si>
  <si>
    <t>Trámite de expedientes ONGDs: Inscripción, renovación, devolución de IGV y adscripción de expertos y de proyectos</t>
  </si>
  <si>
    <t>Difundir convocatorias de Cooperación Técnica Internacional</t>
  </si>
  <si>
    <t xml:space="preserve">Difusión </t>
  </si>
  <si>
    <t>Construcción del Sistema de Planeamiento Operativo</t>
  </si>
  <si>
    <t>Base de datos</t>
  </si>
  <si>
    <t>Aplicación de la base de datos del sistema</t>
  </si>
  <si>
    <t>Software</t>
  </si>
  <si>
    <t>Implementación del sistema</t>
  </si>
  <si>
    <t>Pago de EsSalud</t>
  </si>
  <si>
    <t>12.2</t>
  </si>
  <si>
    <t>12.3</t>
  </si>
  <si>
    <t>12.4</t>
  </si>
  <si>
    <t>Elaboración de la base de datos para el sistema</t>
  </si>
  <si>
    <t>Elaboración del software para el sistema</t>
  </si>
  <si>
    <t xml:space="preserve">Acciones de la Unidad Formuladora de Proyectos Sede </t>
  </si>
  <si>
    <t>Reunión de Evaluación</t>
  </si>
  <si>
    <t>Conformación del Comité</t>
  </si>
  <si>
    <t>Inventario de Hardware &amp; Software</t>
  </si>
  <si>
    <t>Publicar la información del GRC acorde a la ley de transparencia y acceso a la información</t>
  </si>
  <si>
    <t>Ampliación de la interconectividad regional (Internet, telefonía y sistemas regionales)</t>
  </si>
  <si>
    <t>Dependencia interconectada</t>
  </si>
  <si>
    <t>Análisis de Sistemas Regionales</t>
  </si>
  <si>
    <t>Diseño de Sistemas Regionales</t>
  </si>
  <si>
    <t>Construcción y Pruebas de Sistemas Regionales</t>
  </si>
  <si>
    <t>Implantación de Sistemas Regionales</t>
  </si>
  <si>
    <t>Gestionar Directivas para regular los servicios que otorga el CIS</t>
  </si>
  <si>
    <t>Mantenimiento y Actualización de los Sistemas del GRC</t>
  </si>
  <si>
    <t>Capacitación al personal del GRC en los servicios de TIC que brinda el CIS</t>
  </si>
  <si>
    <t>Curso/Taller</t>
  </si>
  <si>
    <t>Renovación del parque informático</t>
  </si>
  <si>
    <t>Licencia</t>
  </si>
  <si>
    <t>Mantenimiento y soporte a equipos de cómputo e informáticos de la Sede Central y otras dependencias del GRC</t>
  </si>
  <si>
    <t xml:space="preserve">Gestionar la aprobación del perfil del proyecto de provisión de servicios con nuevas TI </t>
  </si>
  <si>
    <t>Adquirir servicio de fibra óptica y telefonía</t>
  </si>
  <si>
    <t>contrato</t>
  </si>
  <si>
    <t>Licenciamiento de Software (antivirus y ofimática)</t>
  </si>
  <si>
    <r>
      <t>CENTRO DE INFORMACIÓN Y SISTEMAS</t>
    </r>
    <r>
      <rPr>
        <sz val="10"/>
        <color rgb="FF002060"/>
        <rFont val="Calibri"/>
        <family val="2"/>
        <scheme val="minor"/>
      </rPr>
      <t xml:space="preserve"> -</t>
    </r>
    <r>
      <rPr>
        <b/>
        <sz val="10"/>
        <color rgb="FF002060"/>
        <rFont val="Calibri"/>
        <family val="2"/>
        <scheme val="minor"/>
      </rPr>
      <t xml:space="preserve"> ACTIVIDADES</t>
    </r>
  </si>
  <si>
    <t>TOTAL OBJETIVO ESTRATÉGICO ESPECÍFICO 4.2 ===&gt;</t>
  </si>
  <si>
    <t>Mejoramiento y ampliación de la infraestructura educativa de la I.E Santa Rosa N° 16537 localidad Tamborapa Pueblo, distrito de Tabaconas- San Ignacio -Cajamarca</t>
  </si>
  <si>
    <t>APNOP</t>
  </si>
  <si>
    <t xml:space="preserve">Registro de la documentación que se recepciona en los libros auxiliares </t>
  </si>
  <si>
    <t>PRESUPUESTO INSTITUCIONAL MODIFICADO PRIMER SEMESTRE  POR OBJETIVO ESTRATÉGICO ESPECÍFICO A NIVEL DE UNIDAD EJECUTORA Y UNIDAD ORGÁNICA 2015</t>
  </si>
  <si>
    <t>(POR TODA FUENTE)</t>
  </si>
  <si>
    <t>OBJETIVO ESTRATÉGICO ESPECÍFICO</t>
  </si>
  <si>
    <t>UNIDAD EJECUTORA / UNIDAD ORGÁNICA/PROYECTO</t>
  </si>
  <si>
    <t>PIM</t>
  </si>
  <si>
    <t>EJECUCIÓN</t>
  </si>
  <si>
    <t>TOTAL O.E.E</t>
  </si>
  <si>
    <t>1.1. Población del departamento de Cajamarca accede a educación de calidad y adquieren competencias para una gestión integral del territorio.</t>
  </si>
  <si>
    <t>Proyecto Mejora de la Calidad Educativa</t>
  </si>
  <si>
    <t>Sub Gerencia de  Desarrollo Social y Humano</t>
  </si>
  <si>
    <t>Dirección de Archivo Regional</t>
  </si>
  <si>
    <t>Sub Gerencia de Supervisión y Liquidación de Obras</t>
  </si>
  <si>
    <t>Gerencia Sub Regional Chota</t>
  </si>
  <si>
    <t>Gerencia Sub Regional Cutervo</t>
  </si>
  <si>
    <t>Gerencia Sub Regional Jaén</t>
  </si>
  <si>
    <t>Dirección Regional de Cajamarca</t>
  </si>
  <si>
    <t>Unidad de Gestión Educativa Local Chota</t>
  </si>
  <si>
    <t>Unidad de Gestión Educativa Local Cutervo</t>
  </si>
  <si>
    <t>Unidad de Gestión Educativa Local Jaén</t>
  </si>
  <si>
    <t>Unidad de Gestión Educativa Local San Ignacio</t>
  </si>
  <si>
    <t>Unidad de Gestión Educativa Local Santa Cruz</t>
  </si>
  <si>
    <t>Unidad de Gestión Educativa Local Cajabamba</t>
  </si>
  <si>
    <t>Unidad de Gestión Educativa Local Bambamarca</t>
  </si>
  <si>
    <t>Unidad de Gestión Educativa Local Celendín</t>
  </si>
  <si>
    <t>Unidad de Gestión Educativa Local Cajamarca</t>
  </si>
  <si>
    <t>Unidad de Gestión Educativa Local San Marcos</t>
  </si>
  <si>
    <t>Unidad de Gestión Educativa Local Contumazá</t>
  </si>
  <si>
    <t>Unidad de Gestión Educativa Local San Miguel</t>
  </si>
  <si>
    <t>Unidad de Gestión Educativa Local San Pablo</t>
  </si>
  <si>
    <t>1.2. Población del departamento de Cajamarca, principalmente pobre y vulnerable, accede a servicios integrales de salud de calidad, con enfoque preventivo promocional.</t>
  </si>
  <si>
    <t>Gerencia Regional de Desarrollo Social -Sub Gerencia de Asuntos Poblacionales</t>
  </si>
  <si>
    <t>Infraestructura Sub Gerencia de Operaciones</t>
  </si>
  <si>
    <t>Gerencia Sub Regional de Cutervo</t>
  </si>
  <si>
    <t>Gerencia Sub Regional de Jaén</t>
  </si>
  <si>
    <t>Programas Regionales -Proregion</t>
  </si>
  <si>
    <t>Dirección Regional de Salud Cajamarca</t>
  </si>
  <si>
    <t>Dirección Sub Regional de Salud Chota</t>
  </si>
  <si>
    <t>Dirección Sub Regional de Salud Cutervo</t>
  </si>
  <si>
    <t>Dirección Sub Regional de Salud Jaén</t>
  </si>
  <si>
    <t>Hospital Regional de Cajamarca</t>
  </si>
  <si>
    <t>Hospital General de Jaén</t>
  </si>
  <si>
    <t>Hospital José Soto Cadenillas</t>
  </si>
  <si>
    <t>1.3. Promover la construcción y mejoramiento de la infraestructura de agua y saneamiento en zonas urbanas y rurales; así como propiciar el acceso a una vivienda digna</t>
  </si>
  <si>
    <t>Infraestructura -Sub Gerencia de Operaciones</t>
  </si>
  <si>
    <t>Dirección de Vivienda y Saneamiento</t>
  </si>
  <si>
    <t>1.4. Fortalecer la inclusión social, priorizando al menor y adolescente en situación de abandono y a las personas con discapacidad y promoviendo la igualdad de oportunidades en el departamento de Cajamarca.</t>
  </si>
  <si>
    <t>Sub Gerencia de Desarrollo Social y Humano -Oredis</t>
  </si>
  <si>
    <t>Aldea Infantil "San Antonio"</t>
  </si>
  <si>
    <t>1.5. Mejorar el acceso de la población del departamento de Cajamarca a empleos dignos.</t>
  </si>
  <si>
    <t>Dirección Regional de Trabajo y Promoción del Empleo</t>
  </si>
  <si>
    <t>2.1. Fomentar la asocitividad con enfoque de mercado y gestión empresarial, promoviendo las cadenas productivas, la investigación y la innovación tecnológica</t>
  </si>
  <si>
    <t>Sub Gerencia de Promoción  Empresarial</t>
  </si>
  <si>
    <t>Dirección Regional de la Producción</t>
  </si>
  <si>
    <t xml:space="preserve">Gerencia Sub Regional Cutervo </t>
  </si>
  <si>
    <t>Dirección Regional de Agricultura</t>
  </si>
  <si>
    <t>2.2. Promover el desarrollo turístico, artesanal y exportador del departamento de Cajamarca.</t>
  </si>
  <si>
    <t>Gerencia de Desarrollo Económico</t>
  </si>
  <si>
    <t>Dirección Regional de Comercio Exterior y Turismo</t>
  </si>
  <si>
    <t>2.3. Contribuir a mejorar la infraestructura vial y de telecomunicaciones, para dinamizar la economía y acceso a los servicios básicos.</t>
  </si>
  <si>
    <t>Infraestructura Sub Gerencia de Supervisión y Liquidación de Obras</t>
  </si>
  <si>
    <t>Dirección Regional de Transportes y Comunicaciones</t>
  </si>
  <si>
    <t>2.4. Ampliar y mejorar la infraestructura energética, priorizando la electrificación rural para generar valor agregado en la producción local.</t>
  </si>
  <si>
    <t>Gerencia Sub Regional de Chota</t>
  </si>
  <si>
    <t>2.5. Promover la construcción y mejoramiento de la infraestructura de riego para optimizar el uso del agua, ampliando la frontera agrícola e incrementando la productividad.</t>
  </si>
  <si>
    <t>Gerencia de Desarrollo Económico-Gerencia</t>
  </si>
  <si>
    <t>Gerencia de Desarrollo Económico -Sub Gerencia de Promoción a la Inversión Privada</t>
  </si>
  <si>
    <t>Infraestructura -Sub Gerencia de Supervisión y Liquidación de Obras</t>
  </si>
  <si>
    <t>Gerencia Sub  Regional de Chota</t>
  </si>
  <si>
    <t>3.2. Promover la gestión sostenible del agua, los suelos, la biodiversidad y los ecosistemas vulnerables.</t>
  </si>
  <si>
    <t>Dirección Regional de Energía y Minas</t>
  </si>
  <si>
    <t>Gerencia Regional de Recursos  Naturales y Medio Ambiente</t>
  </si>
  <si>
    <t>3.3. Impulsar procesos de planificación y gestión territorial con base en la ZEE y el Plan de Ordenamiento Territorial (POT) departamental.</t>
  </si>
  <si>
    <t>Sub Gerencia de Acondicionamiento Territorial</t>
  </si>
  <si>
    <t>4.1. Gobierno Regional de Cajamarca al servicio del ciudadano.</t>
  </si>
  <si>
    <t>Presidencia</t>
  </si>
  <si>
    <t>Vice Presidencia</t>
  </si>
  <si>
    <t>Gerencia General</t>
  </si>
  <si>
    <t>Gabinete de Asesores</t>
  </si>
  <si>
    <t>Secretaría General</t>
  </si>
  <si>
    <t>Oficina de Enlace</t>
  </si>
  <si>
    <t>Secretaría Consejo Regional</t>
  </si>
  <si>
    <t>Procuraduría Pública Regional</t>
  </si>
  <si>
    <t>Dirección Regional de Asesoría Jurídica</t>
  </si>
  <si>
    <t>Dirección de Administración</t>
  </si>
  <si>
    <t>Dirección de Personal</t>
  </si>
  <si>
    <t>Dirección de Patrimonio</t>
  </si>
  <si>
    <t>Dirección de Tesorería</t>
  </si>
  <si>
    <t>Dirección de Contabilidad</t>
  </si>
  <si>
    <t>Control Previo</t>
  </si>
  <si>
    <t>Sub Gerencia de Desarrollo Institucional</t>
  </si>
  <si>
    <t>Sub Gerencia de Programación e Inversión pública</t>
  </si>
  <si>
    <t>Sub Gerencia de Presupuesto y Tributación</t>
  </si>
  <si>
    <t xml:space="preserve">Gerencia de Infraestructura </t>
  </si>
  <si>
    <t>Gerencia Regional de Desarrollo Social</t>
  </si>
  <si>
    <t>Programas Regionales -PROREGION</t>
  </si>
  <si>
    <t>4.2. Gestión Pública concertadora, participativa y transparente con actores del entorno interno y externo</t>
  </si>
  <si>
    <t>Dirección Regional de Control Institucional</t>
  </si>
  <si>
    <t>Dirección de Comunicación y RPP</t>
  </si>
  <si>
    <t>Sub Gerencia de Planeamiento y CTI</t>
  </si>
  <si>
    <t>Centro de Informática y Sistemas</t>
  </si>
  <si>
    <t>4.3.Mejorar y ampliar la participación de la ciudadanía en la gestión del riesgo de desastres departamental.</t>
  </si>
  <si>
    <t>Dirección Regional de Defensa Nacional</t>
  </si>
  <si>
    <t>4.4. Elaborar y gestionar la Preinversión en programas y proyectos de impacto Regional.</t>
  </si>
  <si>
    <t>Unidad Formuladora Gerencia de Desarrollo Económico</t>
  </si>
  <si>
    <t>Unidad Formuladora Gerencia de Desarrollo Social</t>
  </si>
  <si>
    <t>Unidad Formuladora Gerencia Regional de Infraestructura -Sub Gerencia de Estudios</t>
  </si>
  <si>
    <t>Unidad Formuladora de la Gerencia Sub Regional de Cutervo</t>
  </si>
  <si>
    <t>Unidad Formuladora de la Gerencia Sub Regional de Jaén</t>
  </si>
  <si>
    <t xml:space="preserve">TOTAL </t>
  </si>
  <si>
    <t>PRESUPUESTO INSTITUCIONAL MODIFICADO AÑO 2015 Y EJECUCIÓN AL PRIMER SEMESTRE POR UNIDAD EJECUTORA  
A NIVEL DE OBJETIVOS ESPECÍFICOS DEL PEI</t>
  </si>
  <si>
    <t>COD.
U.E.</t>
  </si>
  <si>
    <t>Nº
U.E</t>
  </si>
  <si>
    <t>UNIDAD EJECUTORA / UNIDAD ORGÁNICA</t>
  </si>
  <si>
    <t>OBJETIVOS ESPECÍFICOS</t>
  </si>
  <si>
    <t>%</t>
  </si>
  <si>
    <t>001</t>
  </si>
  <si>
    <t>SEDE CAJAMARCA</t>
  </si>
  <si>
    <t>GERENCIA GENERAL</t>
  </si>
  <si>
    <t>ACCIONES GABINETE DE ASESORES ALTA DIRECCIÓN</t>
  </si>
  <si>
    <t>SECRETARÍA CONSEJO REGIONAL</t>
  </si>
  <si>
    <t>DIRECCIÓN REGIONAL DE CONTROL INSTITUCIONAL</t>
  </si>
  <si>
    <t>DIRECCIÓN DE COMUNICACIÓN Y RR. PP.</t>
  </si>
  <si>
    <t>PROCURADURÍA PÚBLICA REGIONAL</t>
  </si>
  <si>
    <t>DIRECCIÓN REGIONAL DE ASESORIA JURÍDICA</t>
  </si>
  <si>
    <t>DIRECCIÓN REGIONAL DE DEFENSA NACIONAL</t>
  </si>
  <si>
    <t>DIRECCIÓN REGIONAL DE ADMINISTRACIÓN</t>
  </si>
  <si>
    <t>Gerencia Desarrollo Económico</t>
  </si>
  <si>
    <t>2.1. Fomentar la asociatividad con enfoque de mercado y gestión empresarial, promoviendo las cadenas productivas, la investigación y la innovación tecnológica.</t>
  </si>
  <si>
    <t>4.4. Promover la formulación de estudios de preinversión con programas y proyectos de impacto regional, así como gestionar si financiamiento.</t>
  </si>
  <si>
    <t>Sub Gerencia de Promoción a la Inversión Privada</t>
  </si>
  <si>
    <t>3.2. Promover la gestión sostenible del agua, los suelos, la biodiversidad y los ecosistemas vulnerables</t>
  </si>
  <si>
    <t>Gerencia Desarrollo Social</t>
  </si>
  <si>
    <t>4.1. Gobierno Regional de Cajamarca al servicios del ciudadano.</t>
  </si>
  <si>
    <t>Sub Gerencia de Asuntos Poblacionales</t>
  </si>
  <si>
    <t>Sub Gerencia de  Desarrollo Social y Humano-Oredis</t>
  </si>
  <si>
    <t>Archivo Regional</t>
  </si>
  <si>
    <t>Gerencia de Infraestructura</t>
  </si>
  <si>
    <t>Sub Gerencia de Operaciones</t>
  </si>
  <si>
    <t>Sub Gerencia de Estudios</t>
  </si>
  <si>
    <t>Sub Gerencia de Supervisión y Liquidación de obras</t>
  </si>
  <si>
    <t>1.1. Población del departamento de Cajamarca accede a educación de calidad y adquieren competencias para una gestión integral del territorio</t>
  </si>
  <si>
    <t>2.5. Ampliar la construcción y mejoramiento de la infraestructura de riego para optimizar el uso del agua, ampliando la frontera agrícola e incremento</t>
  </si>
  <si>
    <t>GERENCIA REGIONAL DE PLANEAMIENTO, PRESUPUESTO Y ACONDICIONAMIENTO TERRITORIAL.</t>
  </si>
  <si>
    <t>Gerencia Regional de Recursos Naturales y Gestión de Medio Ambiente</t>
  </si>
  <si>
    <t>002</t>
  </si>
  <si>
    <t>CHOTA</t>
  </si>
  <si>
    <t>003</t>
  </si>
  <si>
    <t>1.1.Población del departamento de Cajamarca accede a educacióin de calidad y adquieren competencias para una gestión integral del territorio</t>
  </si>
  <si>
    <t>4.3. Mejorar y ampliar la participación de la ciudadanía en la gestión del riesgo de desastres departamental</t>
  </si>
  <si>
    <t>004</t>
  </si>
  <si>
    <t>JAÉN</t>
  </si>
  <si>
    <t>005</t>
  </si>
  <si>
    <t>PRO REGIÓN</t>
  </si>
  <si>
    <t>Programas Regionales</t>
  </si>
  <si>
    <t>4.4.Promover la formulación de estudios de preinversión con programas y proyectos de impacto regional, así como gestionar su financiamiento</t>
  </si>
  <si>
    <t>TRANSPORTES</t>
  </si>
  <si>
    <t>Dirección de Vivienda</t>
  </si>
  <si>
    <t>1.3 Promover la construcción y mejoramiento de la infraestructura de agua y saneamiento en zonas urbanas y rurales así como propiciar el acceso a una vivienda digna</t>
  </si>
  <si>
    <t>EDUCACIÓN CAJAMARCA</t>
  </si>
  <si>
    <t>Dirección Regional de Educación Cajamarca</t>
  </si>
  <si>
    <t>EDUCACIÓN CHOTA</t>
  </si>
  <si>
    <t>EDUCACIÓN CUTERVO</t>
  </si>
  <si>
    <t>EDUCACIÓN JAÉN</t>
  </si>
  <si>
    <t>EDUCACIÓN SAN IGNACIO</t>
  </si>
  <si>
    <t>EDUCACIÓN SANTA CRUZ</t>
  </si>
  <si>
    <t>EDUCACIÓN CAJABAMBA</t>
  </si>
  <si>
    <t>EDUCACIÓN BAMBAMARCA</t>
  </si>
  <si>
    <t>EDUCACIÓN CELENDÍN</t>
  </si>
  <si>
    <t>EDUCACIÓN UGEL CAJAMARCA</t>
  </si>
  <si>
    <t>EDUCACIÓN UGEL SAN MARCOS</t>
  </si>
  <si>
    <t>EDUCACIÓN CONTUMAZÁ</t>
  </si>
  <si>
    <t>EDUCACIÓN UGEL SAN MIGUEL</t>
  </si>
  <si>
    <t>EDUCACIÓN SAN PABLO</t>
  </si>
  <si>
    <t>SALUD CAJAMARCA</t>
  </si>
  <si>
    <t>SALUD CHOTA</t>
  </si>
  <si>
    <t>Dirección Regional de Salud Chota</t>
  </si>
  <si>
    <t>SALUD CUTERVO</t>
  </si>
  <si>
    <t>Dirección Regional de Salud Cutervo</t>
  </si>
  <si>
    <t>SALUD JAÉN</t>
  </si>
  <si>
    <t>Dirección Regional de Salud Jaén</t>
  </si>
  <si>
    <t>HOSPITAL CAJAMARCA</t>
  </si>
  <si>
    <t>HOSPITAL GENERAL JAÉN</t>
  </si>
  <si>
    <t>HOSPITAL JOSÉ SOTO CADENILLAS</t>
  </si>
  <si>
    <t>TOTAL PLIEGO</t>
  </si>
  <si>
    <t>,</t>
  </si>
  <si>
    <t xml:space="preserve">Evaluación y Registro  de Informes Mensuales de Usuarios de   Alcohol Etílico </t>
  </si>
  <si>
    <t>Reporte de Información sobre Temas de Interés de las Actividades Productivas Industriales</t>
  </si>
  <si>
    <t>Fomentar la organización, participación e inclusión de las Mypes en Procesos de Desarrollo Empresarial</t>
  </si>
  <si>
    <t xml:space="preserve">“Mantenimiento del Canal B, sectores de riego Colcabamba, Callash Alto, Chucruquio, Churgapampa y Huayllabamba”. </t>
  </si>
  <si>
    <t>2197627 Incremento de la Competitividad de la Cadena Productiva de la Leche del AEO el Bosque del Caserío el Timbo, Centro Poblado San Antonio, Distrito.</t>
  </si>
  <si>
    <t>Autorización de Registros Especiales.</t>
  </si>
  <si>
    <t xml:space="preserve">A3.1.2. ECAs: Transformación primaria y consumo </t>
  </si>
  <si>
    <t>Consultoría para capacitación en producción y conservación de pastos para la alimentación del ganado vacuno</t>
  </si>
  <si>
    <t>2197645 Incremento de la Producción y comercialización de peces tropicales, en las unidades de producción acuícola de los productores de Jaén San Ignacio.</t>
  </si>
  <si>
    <t>Seguimiento a la elaboración de perfiles y expedientes técnicos: Museo de las culturas, Layzón, Kuntur Wasi, Udima, Ventanillas Combayo.</t>
  </si>
  <si>
    <t>Mantenimiento rutinario manual Contumazá - Cruz Grande</t>
  </si>
  <si>
    <t>Plan de Ordenamiento Territorial (propuesta metodológica, actualización de la Guía OT - OR 011-2011-GR.CAJ-CR)</t>
  </si>
  <si>
    <t>Diagnóstico Integral del Territorio (propuesta metodológica, versión preliminar)</t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</si>
  <si>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4.3. Mejorar y ampliar la participación de la ciudadanía en la gestión del riesgo de desastres departamental.</t>
    </r>
  </si>
  <si>
    <t>2205321 Evaluación de Expediente Técnico del PIP: "Creación de la Infraestructura de la I.E. N° 82165-Yanatotora-Distrito de La Encañada, Provincia de Cajamarca-Cajamarca"</t>
  </si>
  <si>
    <t>2044026 Elaboración del Expediente Técnico definitivo de la: "Construcción Canal Chacapampa-Tumbadén, Saldo de Obra.</t>
  </si>
  <si>
    <t>2231752: Mejoramiento del servicio educativo en la IE N° 82969 Carbón Alto, distrito de Gregorio Pita, provincia de San Marcos - Región Cajamarca</t>
  </si>
  <si>
    <t>I.E Primaria</t>
  </si>
  <si>
    <t>Dotación de material educativo para I.E. de II ciclo de Educación Básica Regular</t>
  </si>
  <si>
    <t>Monitoreo a los compromisos del Convenio FED y BELGA, INTERCAMBIO PRESTACIONAL y SIS CÁPITA</t>
  </si>
  <si>
    <t>3000001-5004424 Vigilancia, Investigacion y Tecnologías en Nutrición</t>
  </si>
  <si>
    <t>3033248-500011 Municipios saludables promueven el cuidado infantil y la adecuada alimentación</t>
  </si>
  <si>
    <t>3033249-5000012 Comunidades saludables promueven el cuidado infantil y la adecuada alimentación</t>
  </si>
  <si>
    <t>3033250-5000013 Instituciones educativas saludables promueven el cuidado infantil y la adecuada alimentación</t>
  </si>
  <si>
    <t>3033251-5000014 Familias saludables con conocimientos para el cuidado infantil, lactancia materna exclusiva y la adecuada alimentación y protección del menor</t>
  </si>
  <si>
    <t>3033254-5000017 Niños con vacuna completa</t>
  </si>
  <si>
    <t>3033255-5000018 Niños con CRED completo según edad</t>
  </si>
  <si>
    <t>3033256-5000019 Niños con suplemento de hierro y vitamina A</t>
  </si>
  <si>
    <t>3000608-5004427 Controles de calidad nutricional de los alimentos</t>
  </si>
  <si>
    <t>3000609-5004428 Vigilancia de la calidad del agua para el consumo humano</t>
  </si>
  <si>
    <t>3000609-5004429 Desinfección y/o tratamiento del agua para el consumo humano</t>
  </si>
  <si>
    <t>3033311-5000027 Atención IRA</t>
  </si>
  <si>
    <t>3033312-5000028 Atención EDA</t>
  </si>
  <si>
    <t>3033313-5000029 Atención IRA con complicaciones</t>
  </si>
  <si>
    <t>3033314-5000030 Atención EDA con complicaciones</t>
  </si>
  <si>
    <t>3033315-5000031 Atención de otras enfermedades prevalentes</t>
  </si>
  <si>
    <t>3033317-5000032 Gestante con suplemento de hierro y ácido fólico</t>
  </si>
  <si>
    <t>3033414-5000035 Atención de niños y niñas con parasitosis intestinal</t>
  </si>
  <si>
    <t>3000001-5004426 Monitoreo, supervisión, evaluación y control del programa articulado nutricional</t>
  </si>
  <si>
    <t>3033172-5000037 Atención prenatal reenfocada</t>
  </si>
  <si>
    <t>3000001-5004389 Desarrollo de normas y guías técnicas en salud materno neonatal</t>
  </si>
  <si>
    <t>3033288-5000039 Municipios saludables que promueven salud sexual y reproductiva</t>
  </si>
  <si>
    <t>3033289-5000040 Comunidades saludables que promueven salud sexual y reproductiva</t>
  </si>
  <si>
    <t>3033290-5000041 Instituciones educativas saludables promueven salud sexual y reproductiva</t>
  </si>
  <si>
    <t>3033291-5000042 Población accede a métodos de planificación familiar</t>
  </si>
  <si>
    <t>3033292-5000043 Población accede a servicios de consejería en salud sexual y reproductiva</t>
  </si>
  <si>
    <t>3033294-5000044 Atención de la gestante con complicaciones</t>
  </si>
  <si>
    <t>3033295-5000045 Atención del parto normal</t>
  </si>
  <si>
    <t>3033296-5000046 Atención del parto complicado no quirúrgico</t>
  </si>
  <si>
    <t>3033297-5000047 Atención del parto complicado quirúrgico</t>
  </si>
  <si>
    <t>3033298-5000048 Atención del puerperio</t>
  </si>
  <si>
    <t>3033299-5000049 Atención del puerperio con complicaciones</t>
  </si>
  <si>
    <t>3033300 -5000050 Atención obstétrica en unidad de cuidados intensivos</t>
  </si>
  <si>
    <t>3033304-5000052 Acceso al sistema de referencia institucional</t>
  </si>
  <si>
    <t>3033305-5000053 Atención del recién nacido normal</t>
  </si>
  <si>
    <t>3033306-5000054 Atención del recién nacido con complicaciones</t>
  </si>
  <si>
    <t>3033307 - Atención del recién nacido con complicaciones que requiere unidad de cuidados intensivos neonatales - UCIN</t>
  </si>
  <si>
    <t>3033412-5000056 Familias saludables informadas respecto de su salud sexual y reproductiva</t>
  </si>
  <si>
    <t>3000001-5004430 Monitoreo, supervisión, evaluación y control de la salud materno neonatal</t>
  </si>
  <si>
    <t>3000005-5000058 Adolescentes acceden a servicios de salud para prevención del embarazo</t>
  </si>
  <si>
    <t>3000002-5000059 Población informada sobre salud sexual, salud reproductiva y métodos de planificación familiar</t>
  </si>
  <si>
    <t>3000001-5004433 Monitoreo, supervisión, evaluación y control de VIH Sida - tuberculosis</t>
  </si>
  <si>
    <t>3000001-5004434 Desarrollo de normas y guías técnicas VIH Sida, tuberculosis</t>
  </si>
  <si>
    <t>3043961-5000071 Población de alto riesgo recibe información y atención preventiva</t>
  </si>
  <si>
    <t>3000612-5004436 Despistaje de tuberculosis en sintomáticos respiratorios</t>
  </si>
  <si>
    <t>3000613-5004437 Control y tratamiento preventivo de contactos de casos tuberculosis (general, indígena, privada de su libertad)</t>
  </si>
  <si>
    <t>3000614-5004438 Diagnóstico de casos de tuberculosis</t>
  </si>
  <si>
    <t xml:space="preserve"> 3000616: Despistaje y diagnóstico de Tuberculosis para pacientes con comorbilidad</t>
  </si>
  <si>
    <t>3000691-5005157 Medidas de control de infecciones y bioseguridad en los servicios de atención de tuberculosis</t>
  </si>
  <si>
    <t>3043952: Promover en las familia prácticas saludables para la prevención de VIH/Sida y Tuberculosis</t>
  </si>
  <si>
    <t>3043952:  Promover desde las instituciones educativas prácticas saludables para la prevención de VIH/Sida y Tuberculosis</t>
  </si>
  <si>
    <t xml:space="preserve">  3043952: Promover mediante agentes comunitarios en salud (ACS), prácticas saludables para prevención de tuberculosis</t>
  </si>
  <si>
    <t>3043956-5000066 Implementar viviendas mejoradas en hogares de personas afectadas de tuberculosis Multidrogo Resistente - TBMDR</t>
  </si>
  <si>
    <t xml:space="preserve">  3043958: Mejorar en población informada el uso correcto de condón para prevención de infecciones de transmisión sexual y VIH/Sida</t>
  </si>
  <si>
    <t>3043959-5000069 Entregar a adultos y jóvenes varones consejería y tamizaje para ITS y VIH/Sida</t>
  </si>
  <si>
    <t>3043960-5000070 Entregar a población adolescente información sobre infecciones de transmisión sexual y VIH/Sida</t>
  </si>
  <si>
    <t>3000672-5005161 Brindar tratamiento oportuno para tuberculosis y sus complicaciones</t>
  </si>
  <si>
    <t>3043968-5000078 Brindar a población con infecciones de transmisión sexual tratamiento según guía clínicas</t>
  </si>
  <si>
    <t>3000673-5005158 Brindar a personas con diagnóstico de Hepatitis B Crónica atención integral</t>
  </si>
  <si>
    <t>3043969-5000079 Brindar atención integral a personas con diagnóstico de VIH que acuden a los servicios</t>
  </si>
  <si>
    <t>3043970-5000080 Brindar tratamiento oportuno a mujeres gestantes reactivas y niños expuestos al VIH</t>
  </si>
  <si>
    <t>3043971-500081 Brindar tratamiento oportuno a mujeres gestantes reactivas a sífilis y sus contactos y recién nacidos expuestos</t>
  </si>
  <si>
    <t xml:space="preserve">  3043958: Brindar tratamiento oportuno a personas que acceden al EESS y recibe tratamiento para tuberculosis extremadamente drogo resistente (XDR)</t>
  </si>
  <si>
    <t>3043974-5000084 Brindar tratamiento para tuberculosis a personas con comorbilidad</t>
  </si>
  <si>
    <t>Enfermedades Metaxénicas y Zoonosis</t>
  </si>
  <si>
    <t>3000001-5000085 Monitoreo, supervisión, evaluación y control metaxénicas y zoonosis</t>
  </si>
  <si>
    <t>3000001-5004451 Desarrollo de normas y guías técnicas en metaxénicas y zoonosis</t>
  </si>
  <si>
    <t>3043977-5000087 Familia con prácticas saludables para la prevención de enfermedades metaxénicas y zoonóticas</t>
  </si>
  <si>
    <t>3043978-5000088 Instituciones educativas que promueven prácticas saludables para la prevención de enfermedades metaxénicas y zoonóticas</t>
  </si>
  <si>
    <t>3043979-5000089 Municipios participando en disminución de la transmisión de enfermedades metaxénicas y zoonóticas</t>
  </si>
  <si>
    <t>3043980-5000090 Pobladores de áreas con riesgo de transmisión informada conoce los mecanismos de trasmisión de enfermedades metaxénicas y zoonóticas</t>
  </si>
  <si>
    <t>3043981-5000091 Viviendas protegidas de los principales condicionantes del riesgo en las áreas de alto y muy alto riesgo de enfermedades metaxénicas y zoonosis</t>
  </si>
  <si>
    <t>3043982-5000092 Vacunación de animales domésticos</t>
  </si>
  <si>
    <t>3043983-5000093 Diagnóstico y tratamiento de enfermedades metaxénicas</t>
  </si>
  <si>
    <t>3043984-5000094 Diagnóstico y tratamiento de casos de enfermedades zoonóticas</t>
  </si>
  <si>
    <t>3044119-5000095 Comunidad con factores de riesgo controlados</t>
  </si>
  <si>
    <t>Enfermedades no Transmisibles</t>
  </si>
  <si>
    <t>3000001-5004452 Monitoreo, supervisión, evaluación y control de enfermedades no trasmisibles</t>
  </si>
  <si>
    <t>3000001-5004453 Desarrollo de normas y guías técnicas en enfermedades no trasmisibles</t>
  </si>
  <si>
    <t>3000682-5000106 Atención estomatológica especializada básica</t>
  </si>
  <si>
    <t>3000680-500104 Atención estomatológica preventiva básica en niños, gestantes y adultos mayores</t>
  </si>
  <si>
    <t>3000681-5000105 Atención estomatológica recuperativa básica en niños, gestantes y adultos mayores</t>
  </si>
  <si>
    <t>3000009  Exámenes de tamizaje y diagnóstico en pacientes con retinopatía oftamológica del prematuro</t>
  </si>
  <si>
    <t>3000011-5000109 Evaluación de tamizaje y diagnóstico de pacientes con cataratas</t>
  </si>
  <si>
    <t>3000012-5000110 Brindar tratamiento a pacientes con diagnóstico de cataratas</t>
  </si>
  <si>
    <t>3000013  Exámenes de tamizaje y diagnóstico de personas con errores refractivos</t>
  </si>
  <si>
    <t>3000014  Brindar tratamiento a pacientes con diagnóstico de errores refractivos</t>
  </si>
  <si>
    <t>3000015-5000113 Evaluación clínica y tamizaje laboratorial de personas con riesgo de padecer enfermedades crónicas no transmisibles</t>
  </si>
  <si>
    <t>3000016-5000114 Brindar tratamiento a personas con diagnóstico de hipertensión arterial</t>
  </si>
  <si>
    <t>3000017  Brindar tratamiento a personas con diagnóstico de diabetes mellitus</t>
  </si>
  <si>
    <t>3043987  Información y sensibilización de la población en para el cuidado de la salud de las enfermedades no transmisibles (mental, bucal, ocular, meta)</t>
  </si>
  <si>
    <t>3043988: Promoción de prácticas higiénicas sanitarias en familias en zonas de riesgo para prevenir las enfermedades no transmisibles (mental, bucal, ocular)</t>
  </si>
  <si>
    <t>3043989  Promoción de prácticas saludables en instituciones educativas para la prevención de las enfermedades no transmisibles (salud mental, bucal, ocular)</t>
  </si>
  <si>
    <t>3043990  Funcionarios de municipios para prevenir las enfermedades no transmisibles ( mental, bucal, ocular, metales pesados, hipe.)</t>
  </si>
  <si>
    <t>3000001-5004441 Monitoreo, supervisión, evaluación y control de prevención y control del cáncer</t>
  </si>
  <si>
    <t>3000001-5004442 Desarrollo de normas y guías técnicas en prevención y control del cáncer</t>
  </si>
  <si>
    <t>3044194-5000118 Población informada y sensibilizada en el cuidado de la salud del cáncer de cérvix, cáncer de mama, cáncer gástrico, cáncer de próstata y cáncer de pulmón</t>
  </si>
  <si>
    <t>3044195-5000119 Mujeres mayores de 18 años con consejería en cáncer de cérvix</t>
  </si>
  <si>
    <t>3044197-5000120 Mujeres mayores de 18 años con consejería en cáncer de mama</t>
  </si>
  <si>
    <t>3044198  Mujeres de 40 a 65 años con mamografía bilateral</t>
  </si>
  <si>
    <t>3044199-5000122 Personas con consejería en la prevención del cáncer gástrico</t>
  </si>
  <si>
    <t>3044200-5000123 Varones mayores de 18 años con consejería en la prevención del cáncer de próstata</t>
  </si>
  <si>
    <t>3044201-5000124 varones de 50 a 70 años con examen de tacto prostatico por via rectal</t>
  </si>
  <si>
    <t xml:space="preserve">  3044202  Varones de 50 a 70 años con dosaje de PSA</t>
  </si>
  <si>
    <t>3044203-5000126 Población escolar con consejería en prevención del cáncer de pulmón</t>
  </si>
  <si>
    <t>3044204-5000127 Población en edad laboral con consejería en prevención del cáncer de pulmón</t>
  </si>
  <si>
    <t>3045112  Personas de 45 a 65 años con endoscopia digestiva alta</t>
  </si>
  <si>
    <t>3000003: Comunidades saludables promueven estilos de vida saludable para la prevención de los principales tipos de cáncer</t>
  </si>
  <si>
    <t>3000004-5000132 Mujer tamizada en cáncer de cuello uterino</t>
  </si>
  <si>
    <t>3000360  Instituciones educativas saludables que promueven la prevención del cáncer de cuello uterino, mama, otros estómago, próstata, pulmón, colon, recto, hígado, leucemia, linfoma, piel y otros</t>
  </si>
  <si>
    <t>3000361-5003061 Consejería a las familias para la adopción y práctica de estilos de vida saludables para la prevención del cáncer</t>
  </si>
  <si>
    <t>3000362-5003062 Capacitación a los municipios para la promoción de prácticas en salud en la prevención del cáncer</t>
  </si>
  <si>
    <t>3000363-5003063 Consejería en la prevención del cáncer de colon y recto, hígado, leucemia, linfoma, piel y otros</t>
  </si>
  <si>
    <t>3000364  Evaluación médica preventiva en cáncer de colon y recto, hígado, leucemia, linfoma, piel</t>
  </si>
  <si>
    <t>3000365 Determinación del estadio clínico y tratamiento del cáncer de cuello uterino</t>
  </si>
  <si>
    <t>3000366  Determinación del estadio clínico y tratamiento del cáncer de mama</t>
  </si>
  <si>
    <t>3000367  Determinación del estadio clínico y tratamiento del cáncer de estómago</t>
  </si>
  <si>
    <t>3000368  Determinación del diagnóstico, estado clínico y tratamiento del cáncer de próstata</t>
  </si>
  <si>
    <t>3000369 Evaluación médica preventiva, determinación de diagnóstico, estadiaje y tratamiento del cáncer de pulmón</t>
  </si>
  <si>
    <t>3000371  Determinación del diagnóstico, estado clínico y tratamiento del cáncer de hígado</t>
  </si>
  <si>
    <t>3000372  Diagnóstico y tratamiento médico de leucemia</t>
  </si>
  <si>
    <t>3000373  Diagnóstico y tratamiento médico de linfoma</t>
  </si>
  <si>
    <t>3000374  Diagnóstico, estadiaje clínico y tratamiento del cáncer de piel no melanoma</t>
  </si>
  <si>
    <t>3000424  Examen de colposcopia en mujeres con citología anormal</t>
  </si>
  <si>
    <t>3000425  Crioterapia o con Leep en mujeres con Citología anormal</t>
  </si>
  <si>
    <t>3000169-5001580 Capacitación de comunidades en habilidades para reducir el riesgo de daños de salud</t>
  </si>
  <si>
    <t>3000169-5003301 Entrenamiento de la población en respuesta y rehabilitación en salud frente a emergencias y desastre</t>
  </si>
  <si>
    <t>3000628-5003303 Organización e implementación de simulacros frente a emergencias y desastres</t>
  </si>
  <si>
    <t>3000564-5003304 Capacidad de expansión asistencial en establecimientos de salud estratégicos</t>
  </si>
  <si>
    <t>3000564-5003305 Oferta complementaria organizada frente a emergencias y desastres</t>
  </si>
  <si>
    <t>3000564-5003306 Atención de salud y movilización de brigadas frente a emergencias y desastres</t>
  </si>
  <si>
    <t>3000450-5004280 Desarrollo de instrumentos estratégicos para la gestión del riesgo de desastres</t>
  </si>
  <si>
    <t>3000628-5004277 estudio y vigilancia de enfermedades trazadoras y agentes etiológicos para la gestión del riesgo de desastres</t>
  </si>
  <si>
    <t>3000450-5004278 Desarrollo de capacidades y asistencia técnica en gestión del riesgo de desastres</t>
  </si>
  <si>
    <t>3000450-5004279 Monitoreo, supervisión y evaluación de productos y actividades en gestión de riesgo de desastres</t>
  </si>
  <si>
    <t>3000628-5004473 Centros de operaciones de emergencias de salud para el análisis de información y toma de decisiones ante situaciones de emergencia</t>
  </si>
  <si>
    <t>3000565-5004475 Seguridad estructural y no estructural de establecimientos de salud</t>
  </si>
  <si>
    <t>3000565-5001576 Seguridad funcional de establecimientos de salud</t>
  </si>
  <si>
    <t xml:space="preserve"> 3000684 - 5002792 Servicio de atención de llamadas de emergencias médicas "106"</t>
  </si>
  <si>
    <t>3000684- 5002793 Atención médica telefónica de la emergencia</t>
  </si>
  <si>
    <t xml:space="preserve"> 3000283 – 5002796 Servicio de ambulancia con soporte vital básico (SBV) para la atención pre hospitalaria de la emergencia</t>
  </si>
  <si>
    <t>3000286-5005141 Servicio de traslado de pacientes en situación crítica</t>
  </si>
  <si>
    <t>3000001 - 5005138 Monitoreo, supervisión y evaluación del programa presupuestal</t>
  </si>
  <si>
    <t>3000001- 5005139  Asistencia técnica y capacitación</t>
  </si>
  <si>
    <t>3000686-5005142 Atención de la emergencia o urgencia en establecimientos para prioridad I</t>
  </si>
  <si>
    <t>3000686-5005143 Atención de la emergencia o urgencia en establecimientos para prioridad II</t>
  </si>
  <si>
    <t>Personas con Discapacidad Física</t>
  </si>
  <si>
    <t>3000001 – 5005145  Monitoreo, supervisión, evaluación y control del programa presupuestal</t>
  </si>
  <si>
    <t>3000688 – 5005150  Atención de rehabilitación para personas con discapacidad física</t>
  </si>
  <si>
    <t>3000689 – 5005153 Certificación de discapacidad</t>
  </si>
  <si>
    <t>3000001-5005183 Monitoreo, supervisión, evaluación y control del programa en salud mental</t>
  </si>
  <si>
    <t>3000001-5005184 Desarrollo de normas y guías técnicas para el abordaje de transtornos mentales  y problemas de psicosociales</t>
  </si>
  <si>
    <t>3000698-5005188 Tamizaje de personas con transtornos mentales  y problemas psicosociales</t>
  </si>
  <si>
    <t>3000700 - 5005190 Tratamiento ambulatorio de personas con transtornos afectivos (depresión y conducta suicida) y de ansiedad</t>
  </si>
  <si>
    <t>3000702 – 5005195  Tratamiento ambulatorio de personas con síndrome o transtorno psicótico</t>
  </si>
  <si>
    <t>3000705-5005200 Prevención familiar de conductas de riesgo en adolescentes familias fuertes: amor y límites</t>
  </si>
  <si>
    <t>0136793 Sesiones de entrenamiento en habilidades sociales para adolescentes, jóvenes y adultos</t>
  </si>
  <si>
    <t>3999999 - 5000002  Acciones administrativas</t>
  </si>
  <si>
    <t>3999999 -  5000001  Apoyo a la gestión</t>
  </si>
  <si>
    <t>3999999 – 5000001  Desarrollar el planeamiento de la gestión</t>
  </si>
  <si>
    <t>3999999 – 5000002  Gestión administrativa</t>
  </si>
  <si>
    <t xml:space="preserve"> 3999999 -    5000001 Planeamiento integral</t>
  </si>
  <si>
    <t>3999999 - 5000005 Gestión de recursos humanos</t>
  </si>
  <si>
    <t>3999999 - 5000004 Asesoramiento técnico y jurídico</t>
  </si>
  <si>
    <t>3999999 -  5001838  Análisis de laboratorio</t>
  </si>
  <si>
    <t>3999999 - 5001189 Apoyo al diagnóstico y tratamiento</t>
  </si>
  <si>
    <t>3999999 - 5000377 Mejoramiento de la oferta de los servicios de salud</t>
  </si>
  <si>
    <t>3999999 - 5000438 Apoyo a la comunidad</t>
  </si>
  <si>
    <t>3999999 – 5002166  Otras atenciones de salud básica</t>
  </si>
  <si>
    <t xml:space="preserve"> 3999999 - 5001566 Otras atenciones de salud especializadas</t>
  </si>
  <si>
    <t>3999999 – 5000500  Atención básica de salud</t>
  </si>
  <si>
    <t>3999999 – 5001568  Atención de cuidados intensivos</t>
  </si>
  <si>
    <t>3999999 – 5001562  Atención en consultas externas</t>
  </si>
  <si>
    <t>3999999 – 5001563  Atención en hospitalización</t>
  </si>
  <si>
    <t>3999999 - 5002197  Prestaciones administrativas subsidiadas no tarifados</t>
  </si>
  <si>
    <t>3999999 -  5001859  Brindar apoyo al diagnóstico por imágenes</t>
  </si>
  <si>
    <t>3999999 – 5001839  Brindar asistencia en medicina física y rehabilitación</t>
  </si>
  <si>
    <t>3999999 - 5001160 Control de epidemias y atención de salud a personas</t>
  </si>
  <si>
    <t>3999999 - 5000619 Inspección y control</t>
  </si>
  <si>
    <t>3999999 - 5001564  Intervenciones quirúrgicas</t>
  </si>
  <si>
    <t>3999999 - Pago de pensiones</t>
  </si>
  <si>
    <t>3999999 -  5001835  Venta de medicinas</t>
  </si>
  <si>
    <t>3999999 - 5001286  Vigilancia y control de epidemias</t>
  </si>
  <si>
    <t>3999999 - 5001285  Vigilancia y control de medio ambiente</t>
  </si>
  <si>
    <t>3999999 -   5001561  Atención de emergencias y urgencias</t>
  </si>
  <si>
    <t>3999999 – 5001174  Seguro integral de salud subsidiado</t>
  </si>
  <si>
    <t>3999999 - 5002166  Otras atenciones de salud básicas</t>
  </si>
  <si>
    <t>3999999 -   5001837  Banco de sangre</t>
  </si>
  <si>
    <t>3999999 – 5002247  Anatomía patológica</t>
  </si>
  <si>
    <t>3999999 -  5002190  Preparación de alimentos para pacientes hospitalizados</t>
  </si>
  <si>
    <t>3999999 - 5001195  Servicios generales</t>
  </si>
  <si>
    <t>3999999 - Mantenimiento y actualización del portal web</t>
  </si>
  <si>
    <t>3999999 - 5005467 Mantenimiento para equipamiento e infraestructura hospitalaria</t>
  </si>
  <si>
    <t>Ración</t>
  </si>
  <si>
    <t>Análisis</t>
  </si>
  <si>
    <t>Certificado</t>
  </si>
  <si>
    <t>3043997  Exámenes de tamizaje y tratamiento de personas afectadas por intoxicación de metales pesados</t>
  </si>
  <si>
    <t>3000001-5004425 Desarrollo de Normas y Guías Técnicas en Nutrición</t>
  </si>
  <si>
    <t>Cesárea</t>
  </si>
  <si>
    <t>Atención Puerperal</t>
  </si>
  <si>
    <t>3000370 Diagnóstico, estadiaje y tratamiento del cáncer de colon y recto</t>
  </si>
  <si>
    <t>3000565 - 5003299 Análisis de la vulnerabilidad de establecimientos de salud</t>
  </si>
  <si>
    <t xml:space="preserve">Recepción y trámite de solicitud de viáticos </t>
  </si>
  <si>
    <t xml:space="preserve">Recepción revisión y trámite de pedidos de compra </t>
  </si>
  <si>
    <t>Recepción y trámite de pedidos de servicios</t>
  </si>
  <si>
    <t>Revisión y derivación de órdenes de compra</t>
  </si>
  <si>
    <t>Revisión y derivación órdenes de servicios</t>
  </si>
  <si>
    <t>Revisión de valorizaciones</t>
  </si>
  <si>
    <t>Revisión de encargos internos</t>
  </si>
  <si>
    <t>Revisión de caja chica</t>
  </si>
  <si>
    <t>Capacitación por personas jurídicas</t>
  </si>
  <si>
    <t>Revisión de órdenes de compra para la fase de devengado</t>
  </si>
  <si>
    <t>Otras encomendadas por la Dirección de Administración</t>
  </si>
  <si>
    <t>ANEXO 2</t>
  </si>
  <si>
    <t>Apoyo en otros trabajos administrativos</t>
  </si>
  <si>
    <t>Proponer Directivas</t>
  </si>
  <si>
    <t xml:space="preserve">Elaboración de Resoluciones Administrativas </t>
  </si>
  <si>
    <t>Desempeñarse  como representante legal de la entidad</t>
  </si>
  <si>
    <t>Otros encomendadas por Gerencia General</t>
  </si>
  <si>
    <t>Consultoría fortal. organización de productores ganaderos</t>
  </si>
  <si>
    <t>Consultoría  capacitación Transf. láctea</t>
  </si>
  <si>
    <t xml:space="preserve">                                          </t>
  </si>
  <si>
    <t>Jaén y Cutervo</t>
  </si>
  <si>
    <t xml:space="preserve">Campaña de sensibilización </t>
  </si>
  <si>
    <t>Nota: Referente a Saneamiento Bienes del Estado:actividades 2.2, 2.3 se dio la ejecución pertinente con recursos de otras oficinas, igualmente sobre ordenamiento territorial actividades 3.1, 3.3 no demandó ningún costo.</t>
  </si>
  <si>
    <t xml:space="preserve">y la actividad 3.9 se ejecutó con otros recursos ajenos al presupuesto público. </t>
  </si>
  <si>
    <t>2094814 Mejoramiento de la Carretera de la Carretera EMP. PE-3N (Bambamarca) - Atoshaico - Ramoscucho - La Libertad de Pallán - EMP. PE 8B (Celendín)-(Obra en liquidación)</t>
  </si>
  <si>
    <t>2115588: Mejoramiento y apertura de la carretera José Gálvez- Jorge Chávez - La Ayacunga (Obra en liquidación-Penalidad)</t>
  </si>
  <si>
    <t>Liquidación</t>
  </si>
  <si>
    <t>TOTAL OBJETIVO ESTRATÉGICO ESPECÍFICO 2.3 ===&gt;</t>
  </si>
  <si>
    <t>TOTAL OBJETIVO ESTRATÉGICO ESPECÍFICO 4.3 ===&gt;</t>
  </si>
  <si>
    <t>TOTAL OBJETIVO ESTRATÉGICO ESPECÍFICO 4.4 ===&gt;</t>
  </si>
  <si>
    <t>ANEXO 1</t>
  </si>
  <si>
    <t>2026123 Redes primarias 22 9 13 2 KV, secundarias 440 220 V y conexiones domiciliarias caseríos de El LLantén, Zognad Bajo, Nuevo Progreso, El Lirio y Chucllapampa - Tramo 2 (Acciones complementarias para transferencia de obra)</t>
  </si>
  <si>
    <t xml:space="preserve">2019615 Red Secundaria de Electrificación Liguñac (Subsanación de observaciones de obra).  </t>
  </si>
  <si>
    <t>2019546 Electrificación Sucse - Carborán - Chulangate (Subsanación de observaciones de obra).</t>
  </si>
  <si>
    <t>2086582 Electrificación Rural El Guayo - Contumazá (Acciones para liquidación de obra)</t>
  </si>
  <si>
    <t>2019621 Electrificación de las localidades del distrito de Namballe
(Subsanación de observaciones de obra)</t>
  </si>
  <si>
    <t>2026616 Electrificación Rural Cajabamba II Etapa Fase II (Subsanación de observaciones de obra)</t>
  </si>
  <si>
    <t xml:space="preserve">2191135: Mejoramiento de los servicios de educación inicial escolarizada de las localidades de Malcas, Shillabamba, El Ollero, Ventanillas, Campo Alegre, Jucat, Chupica y San Antonio, de las provincias de San Marcos y Celendín, Región Cajamarca </t>
  </si>
  <si>
    <t>2135241: Reconstrucción de I.E. Nº 82320 Cauday - Cajabamba (Implementación con equipamiento)</t>
  </si>
  <si>
    <t>2112138: Reconstrucción I.E. Nº 341 Llallán - Chilete - Contumazá (Acciones de levantamiento)</t>
  </si>
  <si>
    <t xml:space="preserve">Equipamiento </t>
  </si>
  <si>
    <t>Sistemas de riego por aspersión  (de 14 sub sistemas)</t>
  </si>
  <si>
    <t>Nota: En lo que corresponde al avance físico de unidad formuladora infraestructura, el avance físico de la elaboración de expediente técnicos es el 100% pero financieramente no se pudo cancelar todo hasta que se haga la verificación, Registro SNIP-15;
a aprobar con resolución Regional de Infraestructura, por ese motivo es que no figura la ejecución fínanciera</t>
  </si>
  <si>
    <t>Documento (liquidación)</t>
  </si>
  <si>
    <t>Estudios de Preinversión</t>
  </si>
  <si>
    <t>UNIDAD FORMULADORA PROREGION</t>
  </si>
  <si>
    <t>2001621 Estudios de Pre inversión</t>
  </si>
  <si>
    <t>LP, RP, RS y Conexiones Domiciliarias</t>
  </si>
  <si>
    <t>LP, RP, RS y Conexiones domiciliarias</t>
  </si>
  <si>
    <t xml:space="preserve">GERENCIA REGIONAL DE INFRAESTRUCTURA </t>
  </si>
  <si>
    <t>SUB GERENCIA DE OPERACIONES</t>
  </si>
  <si>
    <t>2022775 Pequeño Sistema eléctrico Tembladera I Etapa (Conclusión de meta)</t>
  </si>
  <si>
    <t>2144079 Electrificación Rural del distrito de Gregorio Pita II Etapa</t>
  </si>
  <si>
    <t>SUB GERENCIA DE SUPERVISIÓN Y LIQUIDACIONES</t>
  </si>
  <si>
    <t>CONSOLIDADO DIRESA, DIRECCIONES SUB REGIONALES DE: CHOTA, JAÉN Y CUTERVO Y HOSPITALES DE CAJAMARCA, JAÉN Y JOSÉ SOTO CABANILLAS</t>
  </si>
  <si>
    <t xml:space="preserve">Actividad 8.1. Taller de Capacitación a docentes en necesidades educativas especiales, necesidades educativas para su escolarización en lenguaje de señas y escritura Braille. </t>
  </si>
  <si>
    <t>Actividad 7.1. Tercer Encuentro Empresarial Responsabilidad Social Inversión Rentable</t>
  </si>
  <si>
    <t>Actividad 6.2. Campañas de Atención Medica Integral para personas con discapacidad.</t>
  </si>
  <si>
    <t>Actividad 6.1. Campañas de Certificación de Discapacidad.</t>
  </si>
  <si>
    <t xml:space="preserve">Actividad 13.2. Entrega de Carnets en las 13 Provincias </t>
  </si>
  <si>
    <t xml:space="preserve">Actividad 5.1. Difusión de Spot radial de derecho al acceso a la educación y trabajo de la persona con discapacidad </t>
  </si>
  <si>
    <t>Actividad 3.1. Reuniones de la Mesa por la Participación de Desarrollo Inclusivo de la Persona con Discapacidad.</t>
  </si>
  <si>
    <t>Actividad 2.1. Fortalecimiento de capacidades de jefes de OMAPED de la Región y asistencia técnica para la elaboración de sus respectivos POA.</t>
  </si>
  <si>
    <t>Actividad 1.1. Taller de Consulta y Aprobación de Propuestas de Políticas Públicas Regionales en temática de Discapacidad.</t>
  </si>
  <si>
    <t>Actividad 1.2. Fortalecimiento de Capacidades de las Organizaciones de personas con Discapacidad de la Región.</t>
  </si>
  <si>
    <t>Actividad 1.3. Socialización del Plan Operativo de la OREDIS.</t>
  </si>
  <si>
    <r>
      <t xml:space="preserve">POLÍTICA PÚBLICA DEL GOBIERNO REGIONAL CAJAMARCA 2015-2018: </t>
    </r>
    <r>
      <rPr>
        <sz val="10"/>
        <color theme="1"/>
        <rFont val="Calibri"/>
        <family val="2"/>
        <scheme val="minor"/>
      </rPr>
      <t>1.2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Garantizar salud de calidad contribuyendo al desarrollo sostenible e integral con enfoque de gestión territorial e intercultural.       </t>
    </r>
  </si>
  <si>
    <r>
      <t xml:space="preserve">POLÍTICA PÚBLICA DEL GOBIERNO REGIONAL CAJAMARCA 2015-2018: </t>
    </r>
    <r>
      <rPr>
        <sz val="10"/>
        <color theme="1"/>
        <rFont val="Calibri"/>
        <family val="2"/>
        <scheme val="minor"/>
      </rPr>
      <t>1.1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Garantizar educación de calidad para el desarrollo integral y sostenible, con enfoque de gestión territorial (productivo, ambiental e intercultural).       </t>
    </r>
  </si>
  <si>
    <r>
      <rPr>
        <b/>
        <sz val="10"/>
        <color theme="1"/>
        <rFont val="Calibri"/>
        <family val="2"/>
        <scheme val="minor"/>
      </rPr>
      <t xml:space="preserve">OBJETIVO ESTRATÉGICO ESPECÍFICO   :  </t>
    </r>
    <r>
      <rPr>
        <sz val="10"/>
        <color theme="1"/>
        <rFont val="Calibri"/>
        <family val="2"/>
        <scheme val="minor"/>
      </rPr>
      <t>1.4. Fortalecer la inclusión social, priorizando al menor y adolescente en situación de abandono y a las personas con discapacidad y promoviendo la igualdad de oportunidades en el departamento de Cajamarca.</t>
    </r>
  </si>
  <si>
    <r>
      <rPr>
        <b/>
        <sz val="10"/>
        <color theme="1"/>
        <rFont val="Calibri"/>
        <family val="2"/>
        <scheme val="minor"/>
      </rPr>
      <t>POLÍTICA PÚBLICA DEL GOBIERNO REGIONAL CAJAMARCA 2015-2018:</t>
    </r>
    <r>
      <rPr>
        <sz val="10"/>
        <color theme="1"/>
        <rFont val="Calibri"/>
        <family val="2"/>
        <scheme val="minor"/>
      </rPr>
      <t xml:space="preserve"> 1.5 Promover trabajo digno y bien remunerado con equidad de género.     </t>
    </r>
  </si>
  <si>
    <r>
      <rPr>
        <b/>
        <sz val="10"/>
        <color theme="1"/>
        <rFont val="Calibri"/>
        <family val="2"/>
        <scheme val="minor"/>
      </rPr>
      <t>POLÍTICA PÚBLICA DEL GOBIERNO REGIONAL CAJAMARCA 2015-2018:</t>
    </r>
    <r>
      <rPr>
        <sz val="10"/>
        <color theme="1"/>
        <rFont val="Calibri"/>
        <family val="2"/>
        <scheme val="minor"/>
      </rPr>
      <t xml:space="preserve"> 2.1 Generar competitividad territorial sostenible, a través del impulso de actividadfes productivas y de servicios, articuladas al mercado con infraestructura e innovación tecnológica.</t>
    </r>
  </si>
  <si>
    <t xml:space="preserve">Acuerdo </t>
  </si>
  <si>
    <t xml:space="preserve">Odenanza </t>
  </si>
  <si>
    <t>Propuesta</t>
  </si>
  <si>
    <r>
      <rPr>
        <b/>
        <sz val="10"/>
        <color theme="1"/>
        <rFont val="Calibri"/>
        <family val="2"/>
        <scheme val="minor"/>
      </rPr>
      <t>POLÍTICA PÚBLICA DEL GOBIERNO REGIONAL CAJAMARCA 2015-2018:</t>
    </r>
    <r>
      <rPr>
        <sz val="10"/>
        <color theme="1"/>
        <rFont val="Calibri"/>
        <family val="2"/>
        <scheme val="minor"/>
      </rPr>
      <t xml:space="preserve"> 3.1 Implementar el Ordenamiento Territorial para la Gestión Sostenible del territorio en el marco del Nuevo Modelo de Desarrollo Regional</t>
    </r>
  </si>
  <si>
    <r>
      <rPr>
        <b/>
        <sz val="10"/>
        <color rgb="FF002060"/>
        <rFont val="Calibri"/>
        <family val="2"/>
        <scheme val="minor"/>
      </rPr>
      <t>Sistema de Información Territorial Regional</t>
    </r>
    <r>
      <rPr>
        <sz val="10"/>
        <color theme="1"/>
        <rFont val="Calibri"/>
        <family val="2"/>
        <scheme val="minor"/>
      </rPr>
      <t xml:space="preserve"> (Respaldo legal y politico, Capacitación,  Articulacion con CCIDEP y CENEPRED, formulación de un PIP, difusión de la plataforma, actualización de información, Mapoteca virtual)</t>
    </r>
  </si>
  <si>
    <t xml:space="preserve">Coordinación con Gerencias, Sub Gerencias de la  Sede del GORECAJ  </t>
  </si>
  <si>
    <t xml:space="preserve"> % </t>
  </si>
  <si>
    <t>GERENCIA SUB REGIONAL DE CHOTA</t>
  </si>
  <si>
    <t>Unidad Formuladora de la Gerencia Sub Regional de Chota</t>
  </si>
  <si>
    <t xml:space="preserve">                                                                                        </t>
  </si>
  <si>
    <t>mñ</t>
  </si>
  <si>
    <t xml:space="preserve">         </t>
  </si>
  <si>
    <t xml:space="preserve">3000010  Brindar control y tratamiento de paciente con retinopatía oftalmológica del prematuro  </t>
  </si>
  <si>
    <t>Gastos por la contratación de servicios (Capacitación y AT a personal en Producción, control de calidad y comercialización en Derivados Lácteos)</t>
  </si>
  <si>
    <t>FUENTE: SUB GERENCIA DE PRESUPUESTO Y TRIBUTACIÓN  ELABORACIÓN: PROPIA</t>
  </si>
  <si>
    <t>FUENTE: SUB GERENCIA DE PRESUPUESTO Y TRIBUTACIÓN ELABORACIÓN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</si>
</sst>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  <numFmt numFmtId="165" formatCode="0.0"/>
    <numFmt numFmtId="166" formatCode="0.000"/>
    <numFmt numFmtId="167" formatCode="#,##0_ ;[Red]\-#,##0\ "/>
    <numFmt numFmtId="168" formatCode="#,##0_ ;\-#,##0\ "/>
    <numFmt numFmtId="169" formatCode="#,##0.000"/>
    <numFmt numFmtId="170" formatCode="[$-280A]#,##0"/>
    <numFmt numFmtId="171" formatCode="#,##0.00_ ;\-#,##0.00\ "/>
    <numFmt numFmtId="172" formatCode="#,##0;[Red]#,##0"/>
    <numFmt numFmtId="173" formatCode="#,##0.00;[Red]#,##0.00"/>
    <numFmt numFmtId="174" formatCode="0;[Red]0"/>
    <numFmt numFmtId="175" formatCode="_ * #,##0.00_ ;_ * \-#,##0.00_ ;_ * &quot;-&quot;_ ;_ @_ "/>
    <numFmt numFmtId="176" formatCode="_ * #,##0.0_ ;_ * \-#,##0.0_ ;_ * &quot;-&quot;_ ;_ @_ "/>
    <numFmt numFmtId="177" formatCode="_ * #,##0_ ;_ * \-#,##0_ ;_ * &quot;-&quot;??_ ;_ @_ "/>
    <numFmt numFmtId="178" formatCode="0.0%"/>
    <numFmt numFmtId="179" formatCode="[$-280A]#,##0.00"/>
    <numFmt numFmtId="180" formatCode="[$S/-280A]#,##0.000000;[Red][$S/-280A]&quot;-&quot;#,##0.000000"/>
    <numFmt numFmtId="181" formatCode="#,##0.0;[Red]#,##0.0"/>
    <numFmt numFmtId="182" formatCode="0.000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9"/>
      <color theme="2" tint="-0.49998474074526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name val="Calibri"/>
      <family val="2"/>
      <charset val="1"/>
    </font>
    <font>
      <sz val="11"/>
      <color rgb="FF000000"/>
      <name val="Arial"/>
      <family val="2"/>
    </font>
    <font>
      <b/>
      <sz val="9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16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0"/>
      <color indexed="56"/>
      <name val="Calibri"/>
      <family val="2"/>
      <charset val="1"/>
    </font>
    <font>
      <sz val="10"/>
      <color indexed="56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0"/>
      <color rgb="FF002060"/>
      <name val="Calibri"/>
      <family val="2"/>
      <charset val="1"/>
    </font>
    <font>
      <b/>
      <sz val="10"/>
      <color theme="0" tint="-0.249977111117893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9"/>
      <color indexed="8"/>
      <name val="Tahoma"/>
      <family val="2"/>
      <charset val="1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  <fill>
      <patternFill patternType="solid">
        <fgColor theme="0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EEECE1"/>
      </patternFill>
    </fill>
    <fill>
      <patternFill patternType="solid">
        <fgColor theme="0"/>
        <bgColor rgb="FFEEECE1"/>
      </patternFill>
    </fill>
    <fill>
      <patternFill patternType="solid">
        <fgColor theme="3" tint="0.79998168889431442"/>
        <bgColor rgb="FF00B050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CECE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5" fillId="0" borderId="0"/>
    <xf numFmtId="0" fontId="6" fillId="0" borderId="0"/>
    <xf numFmtId="49" fontId="7" fillId="0" borderId="11">
      <alignment horizontal="center" vertical="center" wrapText="1"/>
    </xf>
    <xf numFmtId="41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29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52" applyNumberFormat="0" applyFont="0" applyAlignment="0" applyProtection="0"/>
  </cellStyleXfs>
  <cellXfs count="2574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11" xfId="0" applyFont="1" applyFill="1" applyBorder="1"/>
    <xf numFmtId="3" fontId="2" fillId="2" borderId="11" xfId="0" applyNumberFormat="1" applyFont="1" applyFill="1" applyBorder="1" applyAlignment="1">
      <alignment horizontal="right" vertical="center" indent="1"/>
    </xf>
    <xf numFmtId="0" fontId="4" fillId="2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right" vertical="center" wrapText="1" indent="1"/>
    </xf>
    <xf numFmtId="0" fontId="4" fillId="2" borderId="11" xfId="0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right" vertical="center" wrapText="1" indent="1"/>
    </xf>
    <xf numFmtId="0" fontId="1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 wrapText="1" indent="1"/>
    </xf>
    <xf numFmtId="3" fontId="12" fillId="2" borderId="11" xfId="0" applyNumberFormat="1" applyFont="1" applyFill="1" applyBorder="1" applyAlignment="1">
      <alignment horizontal="right" vertical="center" wrapText="1" indent="1"/>
    </xf>
    <xf numFmtId="3" fontId="2" fillId="2" borderId="11" xfId="0" applyNumberFormat="1" applyFont="1" applyFill="1" applyBorder="1" applyAlignment="1">
      <alignment horizontal="right" vertical="center" wrapText="1" indent="1"/>
    </xf>
    <xf numFmtId="3" fontId="4" fillId="2" borderId="11" xfId="0" applyNumberFormat="1" applyFont="1" applyFill="1" applyBorder="1" applyAlignment="1">
      <alignment horizontal="right" vertical="center" wrapText="1" indent="1"/>
    </xf>
    <xf numFmtId="0" fontId="8" fillId="2" borderId="1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indent="1"/>
    </xf>
    <xf numFmtId="0" fontId="18" fillId="2" borderId="11" xfId="0" applyFont="1" applyFill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indent="1"/>
    </xf>
    <xf numFmtId="3" fontId="8" fillId="2" borderId="11" xfId="0" applyNumberFormat="1" applyFont="1" applyFill="1" applyBorder="1" applyAlignment="1">
      <alignment horizontal="right" vertical="center" wrapText="1" indent="1"/>
    </xf>
    <xf numFmtId="0" fontId="18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8" fillId="2" borderId="11" xfId="0" applyFont="1" applyFill="1" applyBorder="1" applyAlignment="1">
      <alignment horizontal="left" vertical="center"/>
    </xf>
    <xf numFmtId="0" fontId="2" fillId="0" borderId="0" xfId="0" applyFont="1" applyBorder="1"/>
    <xf numFmtId="3" fontId="2" fillId="0" borderId="0" xfId="0" applyNumberFormat="1" applyFont="1"/>
    <xf numFmtId="0" fontId="4" fillId="2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8" fillId="0" borderId="11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3" fontId="12" fillId="2" borderId="11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0" fontId="12" fillId="2" borderId="11" xfId="0" applyFont="1" applyFill="1" applyBorder="1" applyAlignment="1">
      <alignment horizontal="left" vertical="center" wrapText="1" indent="1"/>
    </xf>
    <xf numFmtId="0" fontId="4" fillId="2" borderId="11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18" fillId="2" borderId="11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18" fillId="0" borderId="11" xfId="0" applyNumberFormat="1" applyFont="1" applyFill="1" applyBorder="1" applyAlignment="1">
      <alignment horizontal="right" vertical="center" wrapText="1" indent="1"/>
    </xf>
    <xf numFmtId="0" fontId="18" fillId="2" borderId="11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/>
    </xf>
    <xf numFmtId="3" fontId="18" fillId="2" borderId="11" xfId="0" applyNumberFormat="1" applyFont="1" applyFill="1" applyBorder="1" applyAlignment="1">
      <alignment horizontal="right" vertical="center" wrapText="1" inden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 indent="1"/>
    </xf>
    <xf numFmtId="3" fontId="18" fillId="2" borderId="11" xfId="0" applyNumberFormat="1" applyFont="1" applyFill="1" applyBorder="1" applyAlignment="1">
      <alignment horizontal="right" vertical="center" indent="1"/>
    </xf>
    <xf numFmtId="0" fontId="25" fillId="0" borderId="0" xfId="0" applyFont="1" applyBorder="1"/>
    <xf numFmtId="3" fontId="12" fillId="2" borderId="11" xfId="0" applyNumberFormat="1" applyFont="1" applyFill="1" applyBorder="1" applyAlignment="1">
      <alignment horizontal="right" vertical="center" indent="1"/>
    </xf>
    <xf numFmtId="0" fontId="18" fillId="3" borderId="11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horizontal="right" vertical="center"/>
    </xf>
    <xf numFmtId="4" fontId="18" fillId="2" borderId="11" xfId="0" applyNumberFormat="1" applyFont="1" applyFill="1" applyBorder="1" applyAlignment="1">
      <alignment horizontal="right" vertical="center" indent="1"/>
    </xf>
    <xf numFmtId="0" fontId="18" fillId="2" borderId="11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right" indent="1"/>
    </xf>
    <xf numFmtId="3" fontId="2" fillId="0" borderId="11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/>
    <xf numFmtId="0" fontId="12" fillId="2" borderId="11" xfId="0" applyFont="1" applyFill="1" applyBorder="1" applyAlignment="1">
      <alignment vertical="center" wrapText="1"/>
    </xf>
    <xf numFmtId="1" fontId="18" fillId="2" borderId="11" xfId="0" applyNumberFormat="1" applyFont="1" applyFill="1" applyBorder="1" applyAlignment="1">
      <alignment horizontal="right" vertical="center" indent="1"/>
    </xf>
    <xf numFmtId="0" fontId="12" fillId="2" borderId="11" xfId="0" applyFont="1" applyFill="1" applyBorder="1" applyAlignment="1">
      <alignment horizontal="right" vertical="center" indent="1"/>
    </xf>
    <xf numFmtId="0" fontId="4" fillId="2" borderId="11" xfId="0" applyFont="1" applyFill="1" applyBorder="1" applyAlignment="1">
      <alignment horizontal="right" vertical="center" indent="1"/>
    </xf>
    <xf numFmtId="0" fontId="2" fillId="2" borderId="11" xfId="0" applyFont="1" applyFill="1" applyBorder="1" applyAlignment="1"/>
    <xf numFmtId="3" fontId="8" fillId="2" borderId="11" xfId="0" applyNumberFormat="1" applyFont="1" applyFill="1" applyBorder="1" applyAlignment="1">
      <alignment horizontal="right" vertical="center" indent="1"/>
    </xf>
    <xf numFmtId="0" fontId="2" fillId="2" borderId="0" xfId="0" applyFont="1" applyFill="1" applyBorder="1"/>
    <xf numFmtId="0" fontId="0" fillId="2" borderId="0" xfId="0" applyFill="1"/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right" vertical="center" inden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 indent="1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/>
    <xf numFmtId="0" fontId="2" fillId="0" borderId="18" xfId="0" applyFont="1" applyBorder="1"/>
    <xf numFmtId="4" fontId="4" fillId="2" borderId="11" xfId="0" applyNumberFormat="1" applyFont="1" applyFill="1" applyBorder="1" applyAlignment="1">
      <alignment horizontal="right" vertical="center" indent="1"/>
    </xf>
    <xf numFmtId="0" fontId="4" fillId="7" borderId="11" xfId="0" applyFont="1" applyFill="1" applyBorder="1" applyAlignment="1">
      <alignment horizontal="right" vertical="center" wrapText="1" indent="1"/>
    </xf>
    <xf numFmtId="0" fontId="12" fillId="2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4" fontId="12" fillId="2" borderId="11" xfId="0" applyNumberFormat="1" applyFont="1" applyFill="1" applyBorder="1" applyAlignment="1">
      <alignment horizontal="right" vertical="center" wrapText="1" indent="1"/>
    </xf>
    <xf numFmtId="0" fontId="31" fillId="2" borderId="11" xfId="0" applyFont="1" applyFill="1" applyBorder="1" applyAlignment="1">
      <alignment horizontal="left" vertical="center" indent="1"/>
    </xf>
    <xf numFmtId="4" fontId="2" fillId="0" borderId="0" xfId="0" applyNumberFormat="1" applyFont="1"/>
    <xf numFmtId="4" fontId="18" fillId="2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Border="1" applyAlignment="1">
      <alignment horizontal="right" vertical="center" indent="1"/>
    </xf>
    <xf numFmtId="4" fontId="8" fillId="2" borderId="11" xfId="0" applyNumberFormat="1" applyFont="1" applyFill="1" applyBorder="1" applyAlignment="1">
      <alignment horizontal="right" vertical="center" indent="1"/>
    </xf>
    <xf numFmtId="4" fontId="2" fillId="2" borderId="11" xfId="0" applyNumberFormat="1" applyFont="1" applyFill="1" applyBorder="1" applyAlignment="1">
      <alignment horizontal="right" vertical="center" indent="2"/>
    </xf>
    <xf numFmtId="0" fontId="2" fillId="2" borderId="11" xfId="0" applyFont="1" applyFill="1" applyBorder="1" applyAlignment="1">
      <alignment horizontal="center"/>
    </xf>
    <xf numFmtId="3" fontId="23" fillId="2" borderId="11" xfId="0" applyNumberFormat="1" applyFont="1" applyFill="1" applyBorder="1" applyAlignment="1">
      <alignment horizontal="right" vertical="center" wrapText="1" indent="1"/>
    </xf>
    <xf numFmtId="4" fontId="34" fillId="2" borderId="11" xfId="1" applyNumberFormat="1" applyFont="1" applyFill="1" applyBorder="1" applyAlignment="1">
      <alignment horizontal="right" vertical="center" indent="1"/>
    </xf>
    <xf numFmtId="0" fontId="12" fillId="2" borderId="11" xfId="0" applyFont="1" applyFill="1" applyBorder="1" applyAlignment="1">
      <alignment horizontal="left" vertical="center"/>
    </xf>
    <xf numFmtId="4" fontId="12" fillId="2" borderId="11" xfId="0" applyNumberFormat="1" applyFont="1" applyFill="1" applyBorder="1" applyAlignment="1">
      <alignment horizontal="right" vertical="center" indent="1"/>
    </xf>
    <xf numFmtId="4" fontId="23" fillId="2" borderId="11" xfId="0" applyNumberFormat="1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 wrapText="1"/>
    </xf>
    <xf numFmtId="2" fontId="18" fillId="2" borderId="11" xfId="0" applyNumberFormat="1" applyFont="1" applyFill="1" applyBorder="1" applyAlignment="1">
      <alignment horizontal="center" vertical="center" wrapText="1"/>
    </xf>
    <xf numFmtId="4" fontId="12" fillId="2" borderId="11" xfId="9" applyNumberFormat="1" applyFont="1" applyFill="1" applyBorder="1" applyAlignment="1">
      <alignment horizontal="right" vertical="center" wrapText="1" indent="1"/>
    </xf>
    <xf numFmtId="4" fontId="12" fillId="2" borderId="11" xfId="9" applyNumberFormat="1" applyFont="1" applyFill="1" applyBorder="1" applyAlignment="1">
      <alignment horizontal="right" vertical="center" indent="1"/>
    </xf>
    <xf numFmtId="4" fontId="23" fillId="2" borderId="11" xfId="0" applyNumberFormat="1" applyFont="1" applyFill="1" applyBorder="1" applyAlignment="1">
      <alignment horizontal="right" vertical="center" wrapText="1" indent="1"/>
    </xf>
    <xf numFmtId="0" fontId="4" fillId="7" borderId="11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 indent="1"/>
    </xf>
    <xf numFmtId="0" fontId="18" fillId="3" borderId="12" xfId="0" applyFont="1" applyFill="1" applyBorder="1" applyAlignment="1">
      <alignment vertical="center" wrapText="1"/>
    </xf>
    <xf numFmtId="0" fontId="18" fillId="3" borderId="11" xfId="0" applyFont="1" applyFill="1" applyBorder="1" applyAlignment="1">
      <alignment horizontal="left" vertical="center" wrapText="1" indent="1"/>
    </xf>
    <xf numFmtId="0" fontId="18" fillId="3" borderId="11" xfId="0" applyFont="1" applyFill="1" applyBorder="1" applyAlignment="1">
      <alignment horizontal="right" vertical="center" wrapText="1" indent="1"/>
    </xf>
    <xf numFmtId="4" fontId="18" fillId="3" borderId="11" xfId="0" applyNumberFormat="1" applyFont="1" applyFill="1" applyBorder="1" applyAlignment="1">
      <alignment horizontal="right" vertical="center" wrapText="1" indent="1"/>
    </xf>
    <xf numFmtId="2" fontId="18" fillId="3" borderId="11" xfId="0" applyNumberFormat="1" applyFont="1" applyFill="1" applyBorder="1" applyAlignment="1">
      <alignment horizontal="right" vertical="center" wrapText="1" indent="1"/>
    </xf>
    <xf numFmtId="0" fontId="13" fillId="2" borderId="11" xfId="0" applyFont="1" applyFill="1" applyBorder="1" applyAlignment="1">
      <alignment horizontal="justify" vertical="center"/>
    </xf>
    <xf numFmtId="0" fontId="2" fillId="3" borderId="12" xfId="0" applyFont="1" applyFill="1" applyBorder="1" applyAlignment="1">
      <alignment vertical="center" wrapText="1"/>
    </xf>
    <xf numFmtId="4" fontId="2" fillId="3" borderId="11" xfId="0" applyNumberFormat="1" applyFont="1" applyFill="1" applyBorder="1" applyAlignment="1">
      <alignment horizontal="right" vertical="center" wrapText="1" indent="2"/>
    </xf>
    <xf numFmtId="4" fontId="18" fillId="3" borderId="11" xfId="0" applyNumberFormat="1" applyFont="1" applyFill="1" applyBorder="1" applyAlignment="1">
      <alignment horizontal="right" vertical="center" wrapText="1" indent="2"/>
    </xf>
    <xf numFmtId="0" fontId="2" fillId="0" borderId="17" xfId="0" applyFont="1" applyBorder="1"/>
    <xf numFmtId="2" fontId="12" fillId="2" borderId="11" xfId="0" applyNumberFormat="1" applyFont="1" applyFill="1" applyBorder="1" applyAlignment="1">
      <alignment horizontal="right" vertical="center" wrapText="1" indent="1"/>
    </xf>
    <xf numFmtId="3" fontId="18" fillId="3" borderId="11" xfId="0" applyNumberFormat="1" applyFont="1" applyFill="1" applyBorder="1" applyAlignment="1">
      <alignment horizontal="right" vertical="center" wrapText="1" indent="1"/>
    </xf>
    <xf numFmtId="3" fontId="2" fillId="2" borderId="0" xfId="0" applyNumberFormat="1" applyFont="1" applyFill="1" applyBorder="1" applyAlignment="1">
      <alignment horizontal="right" vertical="center" indent="1"/>
    </xf>
    <xf numFmtId="0" fontId="12" fillId="2" borderId="19" xfId="0" applyFont="1" applyFill="1" applyBorder="1" applyAlignment="1">
      <alignment horizontal="left" vertical="center" wrapText="1" indent="1"/>
    </xf>
    <xf numFmtId="0" fontId="12" fillId="2" borderId="19" xfId="12" applyFont="1" applyFill="1" applyBorder="1" applyAlignment="1">
      <alignment horizontal="center" vertical="center" wrapText="1"/>
    </xf>
    <xf numFmtId="9" fontId="18" fillId="2" borderId="19" xfId="1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 applyAlignment="1">
      <alignment horizontal="right" vertical="center" wrapText="1" indent="1"/>
    </xf>
    <xf numFmtId="0" fontId="18" fillId="2" borderId="20" xfId="12" applyFont="1" applyFill="1" applyBorder="1" applyAlignment="1">
      <alignment vertical="center" wrapText="1"/>
    </xf>
    <xf numFmtId="0" fontId="17" fillId="2" borderId="21" xfId="12" applyFont="1" applyFill="1" applyBorder="1" applyAlignment="1">
      <alignment vertical="center" wrapText="1"/>
    </xf>
    <xf numFmtId="4" fontId="18" fillId="2" borderId="19" xfId="12" applyNumberFormat="1" applyFont="1" applyFill="1" applyBorder="1" applyAlignment="1">
      <alignment horizontal="center" vertical="center" wrapText="1"/>
    </xf>
    <xf numFmtId="3" fontId="18" fillId="2" borderId="19" xfId="12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/>
    </xf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/>
    <xf numFmtId="0" fontId="2" fillId="0" borderId="24" xfId="0" applyFont="1" applyBorder="1" applyAlignment="1">
      <alignment horizontal="left" indent="1"/>
    </xf>
    <xf numFmtId="0" fontId="2" fillId="2" borderId="24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indent="1"/>
    </xf>
    <xf numFmtId="3" fontId="8" fillId="2" borderId="24" xfId="0" applyNumberFormat="1" applyFont="1" applyFill="1" applyBorder="1" applyAlignment="1">
      <alignment horizontal="right" vertical="center" indent="1"/>
    </xf>
    <xf numFmtId="4" fontId="2" fillId="2" borderId="24" xfId="0" applyNumberFormat="1" applyFont="1" applyFill="1" applyBorder="1" applyAlignment="1">
      <alignment horizontal="right" vertical="center" indent="1"/>
    </xf>
    <xf numFmtId="4" fontId="8" fillId="2" borderId="24" xfId="0" applyNumberFormat="1" applyFont="1" applyFill="1" applyBorder="1" applyAlignment="1">
      <alignment horizontal="right" vertical="center" indent="1"/>
    </xf>
    <xf numFmtId="0" fontId="3" fillId="0" borderId="24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vertical="center"/>
    </xf>
    <xf numFmtId="0" fontId="2" fillId="2" borderId="26" xfId="0" applyFont="1" applyFill="1" applyBorder="1"/>
    <xf numFmtId="0" fontId="2" fillId="2" borderId="27" xfId="0" applyFont="1" applyFill="1" applyBorder="1"/>
    <xf numFmtId="3" fontId="2" fillId="2" borderId="24" xfId="0" applyNumberFormat="1" applyFont="1" applyFill="1" applyBorder="1" applyAlignment="1">
      <alignment horizontal="right" vertical="center" indent="1"/>
    </xf>
    <xf numFmtId="0" fontId="2" fillId="2" borderId="24" xfId="0" applyFont="1" applyFill="1" applyBorder="1" applyAlignment="1">
      <alignment horizontal="left" vertical="center" wrapText="1" indent="1"/>
    </xf>
    <xf numFmtId="4" fontId="8" fillId="2" borderId="24" xfId="0" applyNumberFormat="1" applyFont="1" applyFill="1" applyBorder="1" applyAlignment="1">
      <alignment horizontal="right" vertical="center" indent="2"/>
    </xf>
    <xf numFmtId="0" fontId="2" fillId="2" borderId="24" xfId="0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right" vertical="center" wrapText="1" indent="1"/>
    </xf>
    <xf numFmtId="3" fontId="12" fillId="2" borderId="24" xfId="0" applyNumberFormat="1" applyFont="1" applyFill="1" applyBorder="1" applyAlignment="1">
      <alignment horizontal="right" vertical="center" wrapText="1" indent="1"/>
    </xf>
    <xf numFmtId="4" fontId="12" fillId="2" borderId="24" xfId="0" applyNumberFormat="1" applyFont="1" applyFill="1" applyBorder="1" applyAlignment="1">
      <alignment horizontal="right" vertical="center" wrapText="1" indent="1"/>
    </xf>
    <xf numFmtId="4" fontId="12" fillId="2" borderId="24" xfId="0" applyNumberFormat="1" applyFont="1" applyFill="1" applyBorder="1" applyAlignment="1">
      <alignment horizontal="right" vertical="center" wrapText="1" indent="2"/>
    </xf>
    <xf numFmtId="4" fontId="34" fillId="2" borderId="11" xfId="1" applyNumberFormat="1" applyFont="1" applyFill="1" applyBorder="1" applyAlignment="1">
      <alignment horizontal="right" vertical="center" indent="2"/>
    </xf>
    <xf numFmtId="4" fontId="8" fillId="2" borderId="24" xfId="0" applyNumberFormat="1" applyFont="1" applyFill="1" applyBorder="1" applyAlignment="1">
      <alignment horizontal="right" vertical="center" wrapText="1" indent="1"/>
    </xf>
    <xf numFmtId="0" fontId="8" fillId="2" borderId="24" xfId="0" applyFont="1" applyFill="1" applyBorder="1" applyAlignment="1">
      <alignment horizontal="left" vertical="center" wrapText="1" indent="1"/>
    </xf>
    <xf numFmtId="0" fontId="8" fillId="2" borderId="24" xfId="0" applyFont="1" applyFill="1" applyBorder="1" applyAlignment="1">
      <alignment horizontal="right" vertical="center" wrapText="1" indent="1"/>
    </xf>
    <xf numFmtId="3" fontId="8" fillId="2" borderId="24" xfId="0" applyNumberFormat="1" applyFont="1" applyFill="1" applyBorder="1" applyAlignment="1">
      <alignment horizontal="right" vertical="center" wrapText="1" indent="1"/>
    </xf>
    <xf numFmtId="3" fontId="8" fillId="2" borderId="23" xfId="0" applyNumberFormat="1" applyFont="1" applyFill="1" applyBorder="1" applyAlignment="1">
      <alignment horizontal="right" vertical="center" wrapText="1" indent="1"/>
    </xf>
    <xf numFmtId="0" fontId="4" fillId="2" borderId="24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 indent="1"/>
    </xf>
    <xf numFmtId="0" fontId="9" fillId="2" borderId="24" xfId="0" applyFont="1" applyFill="1" applyBorder="1" applyAlignment="1">
      <alignment horizontal="right" vertical="center" wrapText="1" indent="1"/>
    </xf>
    <xf numFmtId="3" fontId="18" fillId="2" borderId="24" xfId="0" applyNumberFormat="1" applyFont="1" applyFill="1" applyBorder="1" applyAlignment="1">
      <alignment horizontal="right" vertical="center" wrapText="1" indent="1"/>
    </xf>
    <xf numFmtId="4" fontId="18" fillId="2" borderId="24" xfId="0" applyNumberFormat="1" applyFont="1" applyFill="1" applyBorder="1" applyAlignment="1">
      <alignment horizontal="right" vertical="center" wrapText="1" indent="1"/>
    </xf>
    <xf numFmtId="0" fontId="3" fillId="2" borderId="24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 indent="1"/>
    </xf>
    <xf numFmtId="4" fontId="2" fillId="2" borderId="24" xfId="0" applyNumberFormat="1" applyFont="1" applyFill="1" applyBorder="1" applyAlignment="1">
      <alignment horizontal="right" vertical="center" wrapText="1" indent="1"/>
    </xf>
    <xf numFmtId="0" fontId="3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right" vertical="center" wrapText="1" indent="1"/>
    </xf>
    <xf numFmtId="3" fontId="2" fillId="2" borderId="24" xfId="0" applyNumberFormat="1" applyFont="1" applyFill="1" applyBorder="1" applyAlignment="1">
      <alignment horizontal="left" vertical="center" wrapText="1" indent="1"/>
    </xf>
    <xf numFmtId="0" fontId="17" fillId="2" borderId="24" xfId="0" applyFont="1" applyFill="1" applyBorder="1" applyAlignment="1">
      <alignment horizontal="left" vertical="center" wrapText="1" indent="1"/>
    </xf>
    <xf numFmtId="0" fontId="17" fillId="2" borderId="24" xfId="0" applyFont="1" applyFill="1" applyBorder="1" applyAlignment="1">
      <alignment horizontal="right" vertical="center" wrapText="1" indent="1"/>
    </xf>
    <xf numFmtId="0" fontId="2" fillId="0" borderId="24" xfId="0" applyFont="1" applyBorder="1" applyAlignment="1">
      <alignment horizontal="right" vertical="center" indent="1"/>
    </xf>
    <xf numFmtId="3" fontId="8" fillId="0" borderId="23" xfId="0" applyNumberFormat="1" applyFont="1" applyBorder="1" applyAlignment="1">
      <alignment horizontal="right" vertical="center" indent="1"/>
    </xf>
    <xf numFmtId="3" fontId="18" fillId="0" borderId="24" xfId="0" applyNumberFormat="1" applyFont="1" applyBorder="1" applyAlignment="1">
      <alignment horizontal="right" vertical="center" indent="1"/>
    </xf>
    <xf numFmtId="0" fontId="18" fillId="2" borderId="24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horizontal="left" vertical="center" wrapText="1" indent="1"/>
    </xf>
    <xf numFmtId="0" fontId="18" fillId="2" borderId="24" xfId="0" applyFont="1" applyFill="1" applyBorder="1" applyAlignment="1">
      <alignment horizontal="right" vertical="center" wrapText="1" indent="1"/>
    </xf>
    <xf numFmtId="3" fontId="18" fillId="2" borderId="24" xfId="0" applyNumberFormat="1" applyFont="1" applyFill="1" applyBorder="1" applyAlignment="1">
      <alignment horizontal="right" vertical="center" indent="1"/>
    </xf>
    <xf numFmtId="4" fontId="18" fillId="2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left" vertical="center" wrapText="1" indent="1"/>
    </xf>
    <xf numFmtId="3" fontId="2" fillId="0" borderId="24" xfId="0" applyNumberFormat="1" applyFont="1" applyBorder="1" applyAlignment="1">
      <alignment horizontal="right" vertical="center" indent="1"/>
    </xf>
    <xf numFmtId="0" fontId="2" fillId="0" borderId="24" xfId="0" applyFont="1" applyBorder="1" applyAlignment="1">
      <alignment horizontal="left" vertical="center" indent="1"/>
    </xf>
    <xf numFmtId="4" fontId="2" fillId="0" borderId="24" xfId="0" applyNumberFormat="1" applyFont="1" applyBorder="1" applyAlignment="1">
      <alignment horizontal="right" vertical="center" indent="1"/>
    </xf>
    <xf numFmtId="4" fontId="8" fillId="0" borderId="23" xfId="0" applyNumberFormat="1" applyFont="1" applyBorder="1" applyAlignment="1">
      <alignment horizontal="right" vertical="center" indent="1"/>
    </xf>
    <xf numFmtId="0" fontId="2" fillId="2" borderId="24" xfId="0" applyFont="1" applyFill="1" applyBorder="1" applyAlignment="1">
      <alignment horizontal="right" vertical="center" indent="1"/>
    </xf>
    <xf numFmtId="3" fontId="8" fillId="0" borderId="24" xfId="0" applyNumberFormat="1" applyFont="1" applyFill="1" applyBorder="1" applyAlignment="1">
      <alignment horizontal="left" vertical="center"/>
    </xf>
    <xf numFmtId="3" fontId="8" fillId="0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left" vertical="center" wrapText="1" inden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right" vertical="center" wrapText="1" indent="1"/>
    </xf>
    <xf numFmtId="3" fontId="8" fillId="0" borderId="24" xfId="0" applyNumberFormat="1" applyFont="1" applyFill="1" applyBorder="1" applyAlignment="1">
      <alignment horizontal="right" vertical="center" wrapText="1" indent="1"/>
    </xf>
    <xf numFmtId="3" fontId="8" fillId="0" borderId="23" xfId="0" applyNumberFormat="1" applyFont="1" applyFill="1" applyBorder="1" applyAlignment="1">
      <alignment horizontal="right" vertical="center" wrapText="1" indent="1"/>
    </xf>
    <xf numFmtId="4" fontId="8" fillId="0" borderId="24" xfId="0" applyNumberFormat="1" applyFont="1" applyFill="1" applyBorder="1" applyAlignment="1">
      <alignment horizontal="right" vertical="center" wrapText="1" indent="1"/>
    </xf>
    <xf numFmtId="3" fontId="18" fillId="0" borderId="24" xfId="0" applyNumberFormat="1" applyFont="1" applyFill="1" applyBorder="1" applyAlignment="1">
      <alignment horizontal="left" vertical="center"/>
    </xf>
    <xf numFmtId="3" fontId="18" fillId="0" borderId="24" xfId="0" applyNumberFormat="1" applyFont="1" applyFill="1" applyBorder="1" applyAlignment="1">
      <alignment horizontal="left" vertical="center" wrapText="1"/>
    </xf>
    <xf numFmtId="3" fontId="18" fillId="0" borderId="24" xfId="0" applyNumberFormat="1" applyFont="1" applyFill="1" applyBorder="1" applyAlignment="1">
      <alignment horizontal="left" vertical="center" wrapText="1" indent="1"/>
    </xf>
    <xf numFmtId="3" fontId="17" fillId="0" borderId="24" xfId="0" applyNumberFormat="1" applyFont="1" applyFill="1" applyBorder="1" applyAlignment="1">
      <alignment horizontal="center" vertical="center" wrapText="1"/>
    </xf>
    <xf numFmtId="3" fontId="17" fillId="0" borderId="24" xfId="0" applyNumberFormat="1" applyFont="1" applyFill="1" applyBorder="1" applyAlignment="1">
      <alignment horizontal="right" vertical="center" wrapText="1" indent="1"/>
    </xf>
    <xf numFmtId="3" fontId="18" fillId="0" borderId="24" xfId="0" applyNumberFormat="1" applyFont="1" applyFill="1" applyBorder="1" applyAlignment="1">
      <alignment horizontal="right" vertical="center" wrapText="1" indent="1"/>
    </xf>
    <xf numFmtId="4" fontId="18" fillId="0" borderId="24" xfId="0" applyNumberFormat="1" applyFont="1" applyFill="1" applyBorder="1" applyAlignment="1">
      <alignment horizontal="right" vertical="center" wrapText="1" indent="1"/>
    </xf>
    <xf numFmtId="3" fontId="3" fillId="0" borderId="24" xfId="0" applyNumberFormat="1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>
      <alignment horizontal="left" vertical="center" wrapText="1" indent="1"/>
    </xf>
    <xf numFmtId="3" fontId="2" fillId="0" borderId="24" xfId="0" applyNumberFormat="1" applyFont="1" applyFill="1" applyBorder="1" applyAlignment="1">
      <alignment horizontal="right" vertical="center" wrapText="1" indent="1"/>
    </xf>
    <xf numFmtId="164" fontId="2" fillId="0" borderId="24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left" vertical="center" wrapText="1"/>
    </xf>
    <xf numFmtId="3" fontId="12" fillId="0" borderId="24" xfId="0" applyNumberFormat="1" applyFont="1" applyFill="1" applyBorder="1" applyAlignment="1">
      <alignment horizontal="left" vertical="center" wrapText="1" indent="1"/>
    </xf>
    <xf numFmtId="4" fontId="2" fillId="0" borderId="24" xfId="11" applyNumberFormat="1" applyFont="1" applyFill="1" applyBorder="1" applyAlignment="1">
      <alignment horizontal="center" vertical="center"/>
    </xf>
    <xf numFmtId="4" fontId="2" fillId="0" borderId="24" xfId="11" applyNumberFormat="1" applyFont="1" applyFill="1" applyBorder="1" applyAlignment="1">
      <alignment horizontal="right" vertical="center" indent="1"/>
    </xf>
    <xf numFmtId="3" fontId="12" fillId="0" borderId="24" xfId="0" applyNumberFormat="1" applyFont="1" applyFill="1" applyBorder="1" applyAlignment="1">
      <alignment horizontal="left" vertical="center"/>
    </xf>
    <xf numFmtId="3" fontId="12" fillId="0" borderId="24" xfId="0" applyNumberFormat="1" applyFont="1" applyFill="1" applyBorder="1" applyAlignment="1">
      <alignment horizontal="left" vertical="center" indent="1"/>
    </xf>
    <xf numFmtId="3" fontId="12" fillId="0" borderId="24" xfId="0" applyNumberFormat="1" applyFont="1" applyFill="1" applyBorder="1" applyAlignment="1">
      <alignment horizontal="right" vertical="center" wrapText="1" indent="1"/>
    </xf>
    <xf numFmtId="164" fontId="2" fillId="2" borderId="24" xfId="0" applyNumberFormat="1" applyFont="1" applyFill="1" applyBorder="1" applyAlignment="1">
      <alignment horizontal="right" vertical="center"/>
    </xf>
    <xf numFmtId="3" fontId="12" fillId="2" borderId="24" xfId="0" applyNumberFormat="1" applyFont="1" applyFill="1" applyBorder="1" applyAlignment="1">
      <alignment horizontal="left" vertical="center"/>
    </xf>
    <xf numFmtId="3" fontId="12" fillId="2" borderId="24" xfId="0" applyNumberFormat="1" applyFont="1" applyFill="1" applyBorder="1" applyAlignment="1">
      <alignment horizontal="left" vertical="center" indent="1"/>
    </xf>
    <xf numFmtId="3" fontId="12" fillId="2" borderId="24" xfId="0" applyNumberFormat="1" applyFont="1" applyFill="1" applyBorder="1" applyAlignment="1">
      <alignment horizontal="left" vertical="center" wrapText="1" indent="1"/>
    </xf>
    <xf numFmtId="3" fontId="11" fillId="0" borderId="24" xfId="0" applyNumberFormat="1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>
      <alignment horizontal="left" vertical="center" indent="1"/>
    </xf>
    <xf numFmtId="3" fontId="2" fillId="0" borderId="24" xfId="0" applyNumberFormat="1" applyFont="1" applyFill="1" applyBorder="1" applyAlignment="1">
      <alignment horizontal="right" vertical="center" indent="1"/>
    </xf>
    <xf numFmtId="3" fontId="18" fillId="0" borderId="24" xfId="0" applyNumberFormat="1" applyFont="1" applyFill="1" applyBorder="1" applyAlignment="1">
      <alignment horizontal="left" vertical="center" indent="1"/>
    </xf>
    <xf numFmtId="4" fontId="18" fillId="0" borderId="24" xfId="11" applyNumberFormat="1" applyFont="1" applyFill="1" applyBorder="1" applyAlignment="1">
      <alignment horizontal="right" vertical="center" indent="1"/>
    </xf>
    <xf numFmtId="3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1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24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horizontal="right" vertical="center" indent="1"/>
    </xf>
    <xf numFmtId="4" fontId="12" fillId="0" borderId="24" xfId="0" applyNumberFormat="1" applyFont="1" applyBorder="1" applyAlignment="1">
      <alignment horizontal="right" vertical="center" indent="1"/>
    </xf>
    <xf numFmtId="3" fontId="12" fillId="0" borderId="24" xfId="0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 applyProtection="1">
      <alignment horizontal="left" wrapText="1" indent="1"/>
      <protection locked="0"/>
    </xf>
    <xf numFmtId="3" fontId="18" fillId="0" borderId="24" xfId="0" applyNumberFormat="1" applyFont="1" applyBorder="1" applyAlignment="1">
      <alignment horizontal="right" indent="1"/>
    </xf>
    <xf numFmtId="3" fontId="2" fillId="0" borderId="24" xfId="0" applyNumberFormat="1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left" vertical="center" indent="1"/>
    </xf>
    <xf numFmtId="0" fontId="2" fillId="0" borderId="26" xfId="0" applyFont="1" applyFill="1" applyBorder="1" applyAlignment="1">
      <alignment horizontal="right" vertical="center" indent="1"/>
    </xf>
    <xf numFmtId="0" fontId="2" fillId="0" borderId="27" xfId="0" applyFont="1" applyBorder="1"/>
    <xf numFmtId="3" fontId="17" fillId="0" borderId="24" xfId="0" applyNumberFormat="1" applyFont="1" applyFill="1" applyBorder="1" applyAlignment="1">
      <alignment horizontal="left" vertical="center" indent="1"/>
    </xf>
    <xf numFmtId="3" fontId="17" fillId="0" borderId="24" xfId="0" applyNumberFormat="1" applyFont="1" applyFill="1" applyBorder="1" applyAlignment="1">
      <alignment horizontal="left" vertical="center" wrapText="1" indent="1"/>
    </xf>
    <xf numFmtId="4" fontId="17" fillId="0" borderId="24" xfId="11" applyNumberFormat="1" applyFont="1" applyFill="1" applyBorder="1" applyAlignment="1">
      <alignment horizontal="center" vertical="center"/>
    </xf>
    <xf numFmtId="4" fontId="23" fillId="0" borderId="24" xfId="11" applyNumberFormat="1" applyFont="1" applyFill="1" applyBorder="1" applyAlignment="1">
      <alignment horizontal="right" vertical="center" indent="1"/>
    </xf>
    <xf numFmtId="4" fontId="8" fillId="0" borderId="24" xfId="11" applyNumberFormat="1" applyFont="1" applyFill="1" applyBorder="1" applyAlignment="1">
      <alignment horizontal="right" vertical="center" inden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3" fontId="18" fillId="2" borderId="24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justify" vertical="center"/>
    </xf>
    <xf numFmtId="0" fontId="18" fillId="0" borderId="24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justify" vertical="center"/>
    </xf>
    <xf numFmtId="0" fontId="2" fillId="2" borderId="24" xfId="0" applyFont="1" applyFill="1" applyBorder="1" applyAlignment="1">
      <alignment horizontal="justify" vertical="center"/>
    </xf>
    <xf numFmtId="4" fontId="2" fillId="2" borderId="24" xfId="11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left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3" fontId="18" fillId="2" borderId="29" xfId="0" applyNumberFormat="1" applyFont="1" applyFill="1" applyBorder="1" applyAlignment="1">
      <alignment horizontal="right" vertical="center" wrapText="1" indent="1"/>
    </xf>
    <xf numFmtId="171" fontId="2" fillId="0" borderId="24" xfId="13" applyNumberFormat="1" applyFont="1" applyBorder="1" applyAlignment="1">
      <alignment horizontal="right" vertical="center" indent="1"/>
    </xf>
    <xf numFmtId="173" fontId="2" fillId="0" borderId="24" xfId="0" applyNumberFormat="1" applyFont="1" applyBorder="1" applyAlignment="1">
      <alignment horizontal="right" vertical="center" indent="1"/>
    </xf>
    <xf numFmtId="0" fontId="2" fillId="2" borderId="30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23" xfId="0" applyFont="1" applyFill="1" applyBorder="1" applyAlignment="1">
      <alignment horizontal="left" vertical="center" indent="1"/>
    </xf>
    <xf numFmtId="0" fontId="2" fillId="2" borderId="27" xfId="0" applyFont="1" applyFill="1" applyBorder="1" applyAlignment="1">
      <alignment horizontal="left" vertical="center" wrapText="1" indent="1"/>
    </xf>
    <xf numFmtId="0" fontId="2" fillId="2" borderId="29" xfId="0" applyFont="1" applyFill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wrapText="1" indent="1"/>
    </xf>
    <xf numFmtId="0" fontId="2" fillId="8" borderId="30" xfId="0" applyFont="1" applyFill="1" applyBorder="1" applyAlignment="1">
      <alignment horizontal="left" vertical="center" wrapText="1" indent="1"/>
    </xf>
    <xf numFmtId="0" fontId="12" fillId="2" borderId="30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justify" vertical="center"/>
    </xf>
    <xf numFmtId="0" fontId="2" fillId="0" borderId="24" xfId="0" applyFont="1" applyFill="1" applyBorder="1" applyAlignment="1">
      <alignment horizontal="justify"/>
    </xf>
    <xf numFmtId="4" fontId="12" fillId="0" borderId="24" xfId="0" applyNumberFormat="1" applyFont="1" applyFill="1" applyBorder="1" applyAlignment="1">
      <alignment horizontal="right" vertical="center" wrapText="1" indent="1"/>
    </xf>
    <xf numFmtId="173" fontId="18" fillId="2" borderId="24" xfId="0" applyNumberFormat="1" applyFont="1" applyFill="1" applyBorder="1" applyAlignment="1">
      <alignment horizontal="right" vertical="center" indent="1"/>
    </xf>
    <xf numFmtId="173" fontId="2" fillId="0" borderId="24" xfId="0" applyNumberFormat="1" applyFont="1" applyFill="1" applyBorder="1" applyAlignment="1">
      <alignment horizontal="right" vertical="center" indent="1"/>
    </xf>
    <xf numFmtId="0" fontId="2" fillId="0" borderId="26" xfId="0" applyFont="1" applyBorder="1"/>
    <xf numFmtId="3" fontId="18" fillId="0" borderId="24" xfId="0" applyNumberFormat="1" applyFont="1" applyFill="1" applyBorder="1" applyAlignment="1">
      <alignment horizontal="right" vertical="center" indent="1"/>
    </xf>
    <xf numFmtId="4" fontId="18" fillId="2" borderId="29" xfId="0" applyNumberFormat="1" applyFont="1" applyFill="1" applyBorder="1" applyAlignment="1">
      <alignment horizontal="right" vertical="center" wrapText="1" indent="1"/>
    </xf>
    <xf numFmtId="0" fontId="3" fillId="0" borderId="24" xfId="0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 indent="1"/>
    </xf>
    <xf numFmtId="0" fontId="2" fillId="2" borderId="32" xfId="0" applyFont="1" applyFill="1" applyBorder="1" applyAlignment="1">
      <alignment horizontal="right" vertical="center" indent="1"/>
    </xf>
    <xf numFmtId="4" fontId="2" fillId="2" borderId="32" xfId="0" applyNumberFormat="1" applyFont="1" applyFill="1" applyBorder="1" applyAlignment="1">
      <alignment horizontal="right" vertical="center" indent="1"/>
    </xf>
    <xf numFmtId="0" fontId="12" fillId="2" borderId="32" xfId="0" applyFont="1" applyFill="1" applyBorder="1" applyAlignment="1">
      <alignment horizontal="left" vertical="center" indent="1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left" indent="1"/>
    </xf>
    <xf numFmtId="4" fontId="8" fillId="0" borderId="32" xfId="0" applyNumberFormat="1" applyFont="1" applyBorder="1" applyAlignment="1">
      <alignment horizontal="right" vertical="center" indent="1"/>
    </xf>
    <xf numFmtId="3" fontId="2" fillId="2" borderId="32" xfId="0" applyNumberFormat="1" applyFont="1" applyFill="1" applyBorder="1" applyAlignment="1">
      <alignment horizontal="right" vertical="center" indent="1"/>
    </xf>
    <xf numFmtId="0" fontId="3" fillId="2" borderId="32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 indent="1"/>
    </xf>
    <xf numFmtId="4" fontId="12" fillId="0" borderId="32" xfId="0" applyNumberFormat="1" applyFont="1" applyFill="1" applyBorder="1" applyAlignment="1">
      <alignment horizontal="right" vertical="center" wrapText="1" indent="1"/>
    </xf>
    <xf numFmtId="0" fontId="4" fillId="2" borderId="32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/>
    </xf>
    <xf numFmtId="4" fontId="2" fillId="0" borderId="32" xfId="11" applyNumberFormat="1" applyFont="1" applyFill="1" applyBorder="1" applyAlignment="1">
      <alignment horizontal="right" vertical="center" indent="1"/>
    </xf>
    <xf numFmtId="0" fontId="2" fillId="2" borderId="32" xfId="5" applyFont="1" applyFill="1" applyBorder="1" applyAlignment="1">
      <alignment horizontal="left" vertical="center" wrapText="1" indent="1"/>
    </xf>
    <xf numFmtId="0" fontId="4" fillId="10" borderId="32" xfId="0" applyFont="1" applyFill="1" applyBorder="1" applyAlignment="1">
      <alignment horizontal="left" vertical="center" wrapText="1"/>
    </xf>
    <xf numFmtId="0" fontId="4" fillId="10" borderId="32" xfId="0" applyFont="1" applyFill="1" applyBorder="1" applyAlignment="1">
      <alignment horizontal="left" vertical="center" wrapText="1" indent="1"/>
    </xf>
    <xf numFmtId="0" fontId="12" fillId="2" borderId="32" xfId="5" applyFont="1" applyFill="1" applyBorder="1" applyAlignment="1">
      <alignment horizontal="right" vertical="center" wrapText="1" indent="1"/>
    </xf>
    <xf numFmtId="0" fontId="4" fillId="5" borderId="32" xfId="0" applyFont="1" applyFill="1" applyBorder="1" applyAlignment="1">
      <alignment horizontal="left" vertical="center" wrapText="1"/>
    </xf>
    <xf numFmtId="0" fontId="4" fillId="5" borderId="32" xfId="0" applyFont="1" applyFill="1" applyBorder="1" applyAlignment="1">
      <alignment horizontal="left" vertical="center" wrapText="1" indent="1"/>
    </xf>
    <xf numFmtId="0" fontId="12" fillId="2" borderId="32" xfId="5" applyFont="1" applyFill="1" applyBorder="1" applyAlignment="1">
      <alignment horizontal="left" vertical="center"/>
    </xf>
    <xf numFmtId="0" fontId="12" fillId="2" borderId="32" xfId="5" applyFont="1" applyFill="1" applyBorder="1" applyAlignment="1">
      <alignment horizontal="left" vertical="center" wrapText="1"/>
    </xf>
    <xf numFmtId="0" fontId="12" fillId="2" borderId="32" xfId="5" applyFont="1" applyFill="1" applyBorder="1" applyAlignment="1">
      <alignment horizontal="left" vertical="center" wrapText="1" indent="1"/>
    </xf>
    <xf numFmtId="0" fontId="4" fillId="10" borderId="32" xfId="0" applyFont="1" applyFill="1" applyBorder="1" applyAlignment="1">
      <alignment vertical="center" wrapText="1"/>
    </xf>
    <xf numFmtId="0" fontId="4" fillId="5" borderId="32" xfId="0" applyFont="1" applyFill="1" applyBorder="1" applyAlignment="1">
      <alignment vertical="center" wrapText="1"/>
    </xf>
    <xf numFmtId="0" fontId="4" fillId="5" borderId="32" xfId="0" applyFont="1" applyFill="1" applyBorder="1" applyAlignment="1">
      <alignment horizontal="right" vertical="center" wrapText="1" indent="1"/>
    </xf>
    <xf numFmtId="0" fontId="12" fillId="2" borderId="32" xfId="5" applyFont="1" applyFill="1" applyBorder="1" applyAlignment="1">
      <alignment horizontal="center" vertical="center"/>
    </xf>
    <xf numFmtId="0" fontId="18" fillId="2" borderId="32" xfId="5" applyFont="1" applyFill="1" applyBorder="1" applyAlignment="1">
      <alignment horizontal="left" vertical="center"/>
    </xf>
    <xf numFmtId="0" fontId="18" fillId="9" borderId="32" xfId="0" applyFont="1" applyFill="1" applyBorder="1" applyAlignment="1">
      <alignment horizontal="left" vertical="center" wrapText="1"/>
    </xf>
    <xf numFmtId="0" fontId="17" fillId="2" borderId="32" xfId="5" applyFont="1" applyFill="1" applyBorder="1" applyAlignment="1">
      <alignment horizontal="left" vertical="center" wrapText="1" indent="1"/>
    </xf>
    <xf numFmtId="0" fontId="18" fillId="9" borderId="32" xfId="0" applyFont="1" applyFill="1" applyBorder="1" applyAlignment="1">
      <alignment horizontal="left" vertical="center" wrapText="1" indent="1"/>
    </xf>
    <xf numFmtId="0" fontId="18" fillId="9" borderId="32" xfId="0" applyFont="1" applyFill="1" applyBorder="1" applyAlignment="1">
      <alignment horizontal="right" vertical="center" wrapText="1" indent="1"/>
    </xf>
    <xf numFmtId="0" fontId="4" fillId="10" borderId="32" xfId="0" applyFont="1" applyFill="1" applyBorder="1" applyAlignment="1">
      <alignment horizontal="right" vertical="center" wrapText="1" indent="1"/>
    </xf>
    <xf numFmtId="176" fontId="4" fillId="2" borderId="32" xfId="0" applyNumberFormat="1" applyFont="1" applyFill="1" applyBorder="1" applyAlignment="1">
      <alignment horizontal="right" vertical="center" indent="1"/>
    </xf>
    <xf numFmtId="0" fontId="12" fillId="5" borderId="32" xfId="0" applyFont="1" applyFill="1" applyBorder="1" applyAlignment="1">
      <alignment horizontal="left" vertical="center" wrapText="1"/>
    </xf>
    <xf numFmtId="0" fontId="12" fillId="5" borderId="32" xfId="0" applyFont="1" applyFill="1" applyBorder="1" applyAlignment="1">
      <alignment horizontal="left" vertical="center" wrapText="1" indent="1"/>
    </xf>
    <xf numFmtId="0" fontId="12" fillId="5" borderId="32" xfId="0" applyFont="1" applyFill="1" applyBorder="1" applyAlignment="1">
      <alignment horizontal="right" vertical="center" wrapText="1" indent="1"/>
    </xf>
    <xf numFmtId="176" fontId="12" fillId="2" borderId="32" xfId="5" applyNumberFormat="1" applyFont="1" applyFill="1" applyBorder="1" applyAlignment="1">
      <alignment vertical="center"/>
    </xf>
    <xf numFmtId="0" fontId="4" fillId="2" borderId="32" xfId="5" applyFont="1" applyFill="1" applyBorder="1" applyAlignment="1">
      <alignment horizontal="left" vertical="center" wrapText="1" indent="1"/>
    </xf>
    <xf numFmtId="0" fontId="4" fillId="2" borderId="32" xfId="5" applyFont="1" applyFill="1" applyBorder="1" applyAlignment="1">
      <alignment horizontal="right" vertical="center" wrapText="1" indent="1"/>
    </xf>
    <xf numFmtId="0" fontId="4" fillId="2" borderId="32" xfId="5" applyFont="1" applyFill="1" applyBorder="1" applyAlignment="1">
      <alignment horizontal="left" vertical="center" indent="1"/>
    </xf>
    <xf numFmtId="0" fontId="4" fillId="2" borderId="32" xfId="5" applyFont="1" applyFill="1" applyBorder="1" applyAlignment="1">
      <alignment horizontal="right" vertical="center" indent="1"/>
    </xf>
    <xf numFmtId="0" fontId="12" fillId="2" borderId="32" xfId="5" applyFont="1" applyFill="1" applyBorder="1" applyAlignment="1">
      <alignment horizontal="right" vertical="center" indent="1"/>
    </xf>
    <xf numFmtId="175" fontId="12" fillId="2" borderId="32" xfId="5" applyNumberFormat="1" applyFont="1" applyFill="1" applyBorder="1" applyAlignment="1">
      <alignment horizontal="right" vertical="center" wrapText="1" indent="1"/>
    </xf>
    <xf numFmtId="43" fontId="12" fillId="2" borderId="32" xfId="5" applyNumberFormat="1" applyFont="1" applyFill="1" applyBorder="1" applyAlignment="1">
      <alignment horizontal="right" vertical="center" indent="1"/>
    </xf>
    <xf numFmtId="2" fontId="12" fillId="2" borderId="32" xfId="5" applyNumberFormat="1" applyFont="1" applyFill="1" applyBorder="1" applyAlignment="1">
      <alignment horizontal="right" vertical="center" indent="1"/>
    </xf>
    <xf numFmtId="177" fontId="12" fillId="2" borderId="32" xfId="5" applyNumberFormat="1" applyFont="1" applyFill="1" applyBorder="1" applyAlignment="1">
      <alignment horizontal="right" vertical="center" indent="1"/>
    </xf>
    <xf numFmtId="3" fontId="4" fillId="2" borderId="35" xfId="5" applyNumberFormat="1" applyFont="1" applyFill="1" applyBorder="1" applyAlignment="1">
      <alignment horizontal="right" vertical="center" indent="1"/>
    </xf>
    <xf numFmtId="0" fontId="2" fillId="2" borderId="32" xfId="5" applyFont="1" applyFill="1" applyBorder="1" applyAlignment="1">
      <alignment horizontal="left" vertical="center" wrapText="1"/>
    </xf>
    <xf numFmtId="3" fontId="12" fillId="2" borderId="32" xfId="5" applyNumberFormat="1" applyFont="1" applyFill="1" applyBorder="1" applyAlignment="1">
      <alignment horizontal="right" vertical="center" wrapText="1" indent="1"/>
    </xf>
    <xf numFmtId="3" fontId="2" fillId="2" borderId="32" xfId="5" applyNumberFormat="1" applyFont="1" applyFill="1" applyBorder="1" applyAlignment="1">
      <alignment horizontal="right" vertical="center" wrapText="1" indent="1"/>
    </xf>
    <xf numFmtId="3" fontId="4" fillId="2" borderId="32" xfId="5" applyNumberFormat="1" applyFont="1" applyFill="1" applyBorder="1" applyAlignment="1">
      <alignment horizontal="right" vertical="center" indent="1"/>
    </xf>
    <xf numFmtId="3" fontId="12" fillId="2" borderId="32" xfId="5" applyNumberFormat="1" applyFont="1" applyFill="1" applyBorder="1" applyAlignment="1">
      <alignment horizontal="right" vertical="center" indent="1"/>
    </xf>
    <xf numFmtId="0" fontId="18" fillId="9" borderId="32" xfId="0" applyFont="1" applyFill="1" applyBorder="1" applyAlignment="1">
      <alignment vertical="center" wrapText="1"/>
    </xf>
    <xf numFmtId="175" fontId="4" fillId="2" borderId="32" xfId="5" applyNumberFormat="1" applyFont="1" applyFill="1" applyBorder="1" applyAlignment="1">
      <alignment horizontal="right" vertical="center" wrapText="1" indent="1"/>
    </xf>
    <xf numFmtId="0" fontId="18" fillId="2" borderId="32" xfId="0" applyFont="1" applyFill="1" applyBorder="1" applyAlignment="1">
      <alignment horizontal="left" vertical="center"/>
    </xf>
    <xf numFmtId="175" fontId="18" fillId="2" borderId="32" xfId="0" applyNumberFormat="1" applyFont="1" applyFill="1" applyBorder="1" applyAlignment="1">
      <alignment vertical="center" wrapText="1"/>
    </xf>
    <xf numFmtId="0" fontId="18" fillId="0" borderId="32" xfId="0" applyFont="1" applyFill="1" applyBorder="1" applyAlignment="1">
      <alignment horizontal="left" vertical="center" indent="1"/>
    </xf>
    <xf numFmtId="0" fontId="18" fillId="0" borderId="32" xfId="0" applyFont="1" applyFill="1" applyBorder="1" applyAlignment="1">
      <alignment horizontal="right" vertical="center" indent="1"/>
    </xf>
    <xf numFmtId="0" fontId="2" fillId="2" borderId="32" xfId="0" applyFont="1" applyFill="1" applyBorder="1" applyAlignment="1">
      <alignment horizontal="right" vertical="center"/>
    </xf>
    <xf numFmtId="0" fontId="13" fillId="2" borderId="32" xfId="0" applyFont="1" applyFill="1" applyBorder="1" applyAlignment="1">
      <alignment horizontal="left" vertical="center" wrapText="1"/>
    </xf>
    <xf numFmtId="3" fontId="12" fillId="2" borderId="32" xfId="0" applyNumberFormat="1" applyFont="1" applyFill="1" applyBorder="1" applyAlignment="1">
      <alignment horizontal="left" vertical="center" wrapText="1" indent="1"/>
    </xf>
    <xf numFmtId="3" fontId="2" fillId="0" borderId="32" xfId="0" applyNumberFormat="1" applyFont="1" applyFill="1" applyBorder="1" applyAlignment="1">
      <alignment horizontal="right" vertical="center" indent="1"/>
    </xf>
    <xf numFmtId="0" fontId="2" fillId="2" borderId="32" xfId="0" applyFont="1" applyFill="1" applyBorder="1" applyAlignment="1">
      <alignment horizontal="left" vertical="center" wrapText="1"/>
    </xf>
    <xf numFmtId="3" fontId="2" fillId="0" borderId="32" xfId="0" applyNumberFormat="1" applyFont="1" applyFill="1" applyBorder="1" applyAlignment="1">
      <alignment horizontal="left" vertical="center" wrapText="1" indent="1"/>
    </xf>
    <xf numFmtId="175" fontId="18" fillId="2" borderId="32" xfId="0" applyNumberFormat="1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 indent="1"/>
    </xf>
    <xf numFmtId="3" fontId="17" fillId="0" borderId="32" xfId="0" applyNumberFormat="1" applyFont="1" applyFill="1" applyBorder="1" applyAlignment="1">
      <alignment horizontal="left" vertical="center" indent="1"/>
    </xf>
    <xf numFmtId="3" fontId="17" fillId="0" borderId="32" xfId="0" applyNumberFormat="1" applyFont="1" applyFill="1" applyBorder="1" applyAlignment="1">
      <alignment horizontal="right" vertical="center" indent="1"/>
    </xf>
    <xf numFmtId="3" fontId="2" fillId="0" borderId="32" xfId="0" applyNumberFormat="1" applyFont="1" applyBorder="1" applyAlignment="1">
      <alignment horizontal="left" vertical="center" indent="1"/>
    </xf>
    <xf numFmtId="3" fontId="2" fillId="0" borderId="32" xfId="0" applyNumberFormat="1" applyFont="1" applyBorder="1" applyAlignment="1">
      <alignment horizontal="right" vertical="center" indent="1"/>
    </xf>
    <xf numFmtId="2" fontId="2" fillId="0" borderId="32" xfId="0" applyNumberFormat="1" applyFont="1" applyBorder="1" applyAlignment="1">
      <alignment horizontal="right" vertical="center"/>
    </xf>
    <xf numFmtId="3" fontId="2" fillId="0" borderId="32" xfId="9" applyNumberFormat="1" applyFont="1" applyFill="1" applyBorder="1" applyAlignment="1">
      <alignment horizontal="right" vertical="center" wrapText="1" indent="1"/>
    </xf>
    <xf numFmtId="3" fontId="17" fillId="0" borderId="32" xfId="0" applyNumberFormat="1" applyFont="1" applyFill="1" applyBorder="1" applyAlignment="1">
      <alignment horizontal="left" vertical="center" wrapText="1" indent="1"/>
    </xf>
    <xf numFmtId="3" fontId="17" fillId="0" borderId="32" xfId="9" applyNumberFormat="1" applyFont="1" applyFill="1" applyBorder="1" applyAlignment="1">
      <alignment horizontal="right" vertical="center" wrapText="1" indent="1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left" vertical="center" wrapText="1"/>
    </xf>
    <xf numFmtId="3" fontId="17" fillId="0" borderId="32" xfId="0" applyNumberFormat="1" applyFont="1" applyBorder="1" applyAlignment="1">
      <alignment horizontal="left" vertical="center" indent="1"/>
    </xf>
    <xf numFmtId="3" fontId="17" fillId="0" borderId="32" xfId="0" applyNumberFormat="1" applyFont="1" applyBorder="1" applyAlignment="1">
      <alignment horizontal="right" vertical="center" indent="1"/>
    </xf>
    <xf numFmtId="0" fontId="2" fillId="0" borderId="32" xfId="0" applyFont="1" applyFill="1" applyBorder="1" applyAlignment="1">
      <alignment horizontal="left" vertical="center" wrapText="1"/>
    </xf>
    <xf numFmtId="3" fontId="12" fillId="0" borderId="32" xfId="0" applyNumberFormat="1" applyFont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left" vertical="center" wrapText="1" indent="1"/>
    </xf>
    <xf numFmtId="0" fontId="18" fillId="0" borderId="32" xfId="0" applyFont="1" applyBorder="1" applyAlignment="1">
      <alignment horizontal="left" vertical="center"/>
    </xf>
    <xf numFmtId="3" fontId="17" fillId="0" borderId="32" xfId="0" applyNumberFormat="1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right"/>
    </xf>
    <xf numFmtId="0" fontId="3" fillId="2" borderId="32" xfId="0" applyFont="1" applyFill="1" applyBorder="1" applyAlignment="1">
      <alignment horizontal="left" vertical="center" wrapText="1"/>
    </xf>
    <xf numFmtId="3" fontId="2" fillId="0" borderId="32" xfId="0" applyNumberFormat="1" applyFont="1" applyBorder="1" applyAlignment="1">
      <alignment horizontal="left" vertical="center" wrapText="1" indent="1"/>
    </xf>
    <xf numFmtId="3" fontId="12" fillId="2" borderId="32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0" fontId="3" fillId="0" borderId="32" xfId="0" applyFont="1" applyBorder="1" applyAlignment="1">
      <alignment horizontal="left" vertical="center"/>
    </xf>
    <xf numFmtId="175" fontId="4" fillId="2" borderId="32" xfId="0" applyNumberFormat="1" applyFont="1" applyFill="1" applyBorder="1" applyAlignment="1">
      <alignment vertical="center" wrapText="1"/>
    </xf>
    <xf numFmtId="165" fontId="2" fillId="0" borderId="32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left" vertical="center"/>
    </xf>
    <xf numFmtId="175" fontId="18" fillId="2" borderId="32" xfId="5" applyNumberFormat="1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 indent="1"/>
    </xf>
    <xf numFmtId="3" fontId="18" fillId="0" borderId="32" xfId="0" applyNumberFormat="1" applyFont="1" applyFill="1" applyBorder="1" applyAlignment="1">
      <alignment horizontal="left" vertical="center" wrapText="1" indent="1"/>
    </xf>
    <xf numFmtId="3" fontId="18" fillId="0" borderId="32" xfId="0" applyNumberFormat="1" applyFont="1" applyBorder="1" applyAlignment="1">
      <alignment horizontal="right" vertical="center" indent="1"/>
    </xf>
    <xf numFmtId="0" fontId="2" fillId="0" borderId="32" xfId="0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left" vertical="center" indent="1"/>
    </xf>
    <xf numFmtId="175" fontId="3" fillId="2" borderId="32" xfId="0" applyNumberFormat="1" applyFont="1" applyFill="1" applyBorder="1" applyAlignment="1">
      <alignment horizontal="left" vertical="center" wrapText="1"/>
    </xf>
    <xf numFmtId="3" fontId="18" fillId="0" borderId="32" xfId="0" applyNumberFormat="1" applyFont="1" applyFill="1" applyBorder="1" applyAlignment="1">
      <alignment horizontal="right" vertical="center" indent="1"/>
    </xf>
    <xf numFmtId="0" fontId="2" fillId="2" borderId="32" xfId="0" applyFont="1" applyFill="1" applyBorder="1" applyAlignment="1">
      <alignment horizontal="center" vertical="center"/>
    </xf>
    <xf numFmtId="175" fontId="12" fillId="2" borderId="32" xfId="0" applyNumberFormat="1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right" vertical="center" indent="1"/>
    </xf>
    <xf numFmtId="3" fontId="25" fillId="2" borderId="32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0" fontId="2" fillId="2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right" vertical="center" wrapText="1"/>
    </xf>
    <xf numFmtId="0" fontId="19" fillId="2" borderId="32" xfId="0" applyFont="1" applyFill="1" applyBorder="1" applyAlignment="1">
      <alignment vertical="center" wrapText="1"/>
    </xf>
    <xf numFmtId="0" fontId="3" fillId="11" borderId="32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vertical="center" wrapText="1"/>
    </xf>
    <xf numFmtId="0" fontId="18" fillId="11" borderId="3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horizontal="left" vertical="center" wrapText="1" indent="1"/>
    </xf>
    <xf numFmtId="0" fontId="2" fillId="2" borderId="32" xfId="0" applyFont="1" applyFill="1" applyBorder="1" applyAlignment="1">
      <alignment horizontal="left" wrapText="1" indent="1"/>
    </xf>
    <xf numFmtId="0" fontId="4" fillId="2" borderId="32" xfId="0" applyFont="1" applyFill="1" applyBorder="1" applyAlignment="1">
      <alignment horizontal="left" vertical="center" wrapText="1" indent="1"/>
    </xf>
    <xf numFmtId="3" fontId="18" fillId="2" borderId="32" xfId="0" applyNumberFormat="1" applyFont="1" applyFill="1" applyBorder="1" applyAlignment="1">
      <alignment horizontal="left" vertical="center" wrapText="1" indent="1"/>
    </xf>
    <xf numFmtId="0" fontId="18" fillId="2" borderId="32" xfId="0" applyFont="1" applyFill="1" applyBorder="1" applyAlignment="1">
      <alignment horizontal="right" vertical="center" wrapText="1" indent="1"/>
    </xf>
    <xf numFmtId="4" fontId="18" fillId="2" borderId="32" xfId="11" applyNumberFormat="1" applyFont="1" applyFill="1" applyBorder="1" applyAlignment="1">
      <alignment horizontal="right" vertical="center" wrapText="1" indent="1"/>
    </xf>
    <xf numFmtId="3" fontId="12" fillId="2" borderId="32" xfId="0" applyNumberFormat="1" applyFont="1" applyFill="1" applyBorder="1" applyAlignment="1">
      <alignment horizontal="right" vertical="center" wrapText="1" indent="1"/>
    </xf>
    <xf numFmtId="4" fontId="12" fillId="2" borderId="32" xfId="11" applyNumberFormat="1" applyFont="1" applyFill="1" applyBorder="1" applyAlignment="1">
      <alignment horizontal="right" vertical="center" wrapText="1" indent="1"/>
    </xf>
    <xf numFmtId="4" fontId="4" fillId="2" borderId="32" xfId="11" applyNumberFormat="1" applyFont="1" applyFill="1" applyBorder="1" applyAlignment="1">
      <alignment horizontal="right" vertical="center" wrapText="1" indent="1"/>
    </xf>
    <xf numFmtId="0" fontId="2" fillId="2" borderId="32" xfId="0" applyFont="1" applyFill="1" applyBorder="1" applyAlignment="1">
      <alignment horizontal="right" wrapText="1" indent="1"/>
    </xf>
    <xf numFmtId="4" fontId="2" fillId="2" borderId="32" xfId="0" applyNumberFormat="1" applyFont="1" applyFill="1" applyBorder="1" applyAlignment="1">
      <alignment horizontal="right" wrapText="1" indent="1"/>
    </xf>
    <xf numFmtId="3" fontId="4" fillId="2" borderId="32" xfId="0" applyNumberFormat="1" applyFont="1" applyFill="1" applyBorder="1" applyAlignment="1">
      <alignment horizontal="right" vertical="center" wrapText="1" indent="1"/>
    </xf>
    <xf numFmtId="3" fontId="18" fillId="2" borderId="32" xfId="0" applyNumberFormat="1" applyFont="1" applyFill="1" applyBorder="1" applyAlignment="1">
      <alignment horizontal="right" vertical="center" wrapText="1" indent="1"/>
    </xf>
    <xf numFmtId="0" fontId="2" fillId="2" borderId="32" xfId="0" applyFont="1" applyFill="1" applyBorder="1" applyAlignment="1">
      <alignment horizontal="right" vertical="center" wrapText="1" indent="1"/>
    </xf>
    <xf numFmtId="4" fontId="2" fillId="0" borderId="0" xfId="0" applyNumberFormat="1" applyFont="1" applyAlignment="1">
      <alignment horizontal="right" indent="1"/>
    </xf>
    <xf numFmtId="0" fontId="2" fillId="0" borderId="32" xfId="0" applyFont="1" applyBorder="1" applyAlignment="1">
      <alignment horizontal="right" indent="1"/>
    </xf>
    <xf numFmtId="41" fontId="18" fillId="9" borderId="32" xfId="0" applyNumberFormat="1" applyFont="1" applyFill="1" applyBorder="1" applyAlignment="1">
      <alignment horizontal="right" vertical="center" wrapText="1" indent="1"/>
    </xf>
    <xf numFmtId="175" fontId="18" fillId="9" borderId="32" xfId="0" applyNumberFormat="1" applyFont="1" applyFill="1" applyBorder="1" applyAlignment="1">
      <alignment horizontal="right" vertical="center" wrapText="1" indent="1"/>
    </xf>
    <xf numFmtId="41" fontId="12" fillId="2" borderId="32" xfId="5" applyNumberFormat="1" applyFont="1" applyFill="1" applyBorder="1" applyAlignment="1">
      <alignment horizontal="right" vertical="center" wrapText="1" indent="1"/>
    </xf>
    <xf numFmtId="41" fontId="4" fillId="5" borderId="32" xfId="0" applyNumberFormat="1" applyFont="1" applyFill="1" applyBorder="1" applyAlignment="1">
      <alignment horizontal="right" vertical="center" wrapText="1" indent="1"/>
    </xf>
    <xf numFmtId="175" fontId="4" fillId="5" borderId="32" xfId="0" applyNumberFormat="1" applyFont="1" applyFill="1" applyBorder="1" applyAlignment="1">
      <alignment horizontal="right" vertical="center" wrapText="1" indent="1"/>
    </xf>
    <xf numFmtId="41" fontId="4" fillId="10" borderId="32" xfId="0" applyNumberFormat="1" applyFont="1" applyFill="1" applyBorder="1" applyAlignment="1">
      <alignment horizontal="right" vertical="center" wrapText="1" indent="1"/>
    </xf>
    <xf numFmtId="175" fontId="4" fillId="10" borderId="32" xfId="0" applyNumberFormat="1" applyFont="1" applyFill="1" applyBorder="1" applyAlignment="1">
      <alignment horizontal="right" vertical="center" wrapText="1" indent="1"/>
    </xf>
    <xf numFmtId="41" fontId="4" fillId="9" borderId="32" xfId="0" applyNumberFormat="1" applyFont="1" applyFill="1" applyBorder="1" applyAlignment="1">
      <alignment horizontal="right" vertical="center" wrapText="1" indent="1"/>
    </xf>
    <xf numFmtId="175" fontId="4" fillId="9" borderId="32" xfId="0" applyNumberFormat="1" applyFont="1" applyFill="1" applyBorder="1" applyAlignment="1">
      <alignment horizontal="right" vertical="center" wrapText="1" indent="1"/>
    </xf>
    <xf numFmtId="41" fontId="4" fillId="2" borderId="32" xfId="0" applyNumberFormat="1" applyFont="1" applyFill="1" applyBorder="1" applyAlignment="1">
      <alignment horizontal="right" vertical="center" indent="1"/>
    </xf>
    <xf numFmtId="175" fontId="4" fillId="2" borderId="32" xfId="0" applyNumberFormat="1" applyFont="1" applyFill="1" applyBorder="1" applyAlignment="1">
      <alignment horizontal="right" vertical="center" indent="1"/>
    </xf>
    <xf numFmtId="41" fontId="12" fillId="5" borderId="32" xfId="0" applyNumberFormat="1" applyFont="1" applyFill="1" applyBorder="1" applyAlignment="1">
      <alignment horizontal="right" vertical="center" wrapText="1" indent="1"/>
    </xf>
    <xf numFmtId="175" fontId="12" fillId="5" borderId="32" xfId="0" applyNumberFormat="1" applyFont="1" applyFill="1" applyBorder="1" applyAlignment="1">
      <alignment horizontal="right" vertical="center" wrapText="1" indent="1"/>
    </xf>
    <xf numFmtId="41" fontId="4" fillId="2" borderId="32" xfId="5" applyNumberFormat="1" applyFont="1" applyFill="1" applyBorder="1" applyAlignment="1">
      <alignment horizontal="right" vertical="center" wrapText="1" indent="1"/>
    </xf>
    <xf numFmtId="3" fontId="8" fillId="2" borderId="24" xfId="0" applyNumberFormat="1" applyFont="1" applyFill="1" applyBorder="1" applyAlignment="1">
      <alignment horizontal="left" vertical="center" wrapText="1"/>
    </xf>
    <xf numFmtId="4" fontId="18" fillId="0" borderId="24" xfId="0" applyNumberFormat="1" applyFont="1" applyBorder="1" applyAlignment="1">
      <alignment horizontal="right" indent="1"/>
    </xf>
    <xf numFmtId="0" fontId="2" fillId="2" borderId="23" xfId="0" applyFont="1" applyFill="1" applyBorder="1" applyAlignment="1">
      <alignment horizontal="right" vertical="center" indent="1"/>
    </xf>
    <xf numFmtId="174" fontId="2" fillId="0" borderId="24" xfId="0" applyNumberFormat="1" applyFont="1" applyFill="1" applyBorder="1" applyAlignment="1">
      <alignment horizontal="right" vertical="center" indent="1"/>
    </xf>
    <xf numFmtId="165" fontId="2" fillId="2" borderId="32" xfId="0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justify" vertical="center" wrapText="1"/>
    </xf>
    <xf numFmtId="3" fontId="2" fillId="2" borderId="32" xfId="0" applyNumberFormat="1" applyFont="1" applyFill="1" applyBorder="1" applyAlignment="1">
      <alignment horizontal="right" vertical="center" wrapText="1" indent="1"/>
    </xf>
    <xf numFmtId="4" fontId="12" fillId="2" borderId="32" xfId="0" applyNumberFormat="1" applyFont="1" applyFill="1" applyBorder="1" applyAlignment="1">
      <alignment horizontal="right" vertical="center" indent="1"/>
    </xf>
    <xf numFmtId="1" fontId="18" fillId="2" borderId="32" xfId="0" applyNumberFormat="1" applyFont="1" applyFill="1" applyBorder="1" applyAlignment="1">
      <alignment horizontal="left" vertical="center"/>
    </xf>
    <xf numFmtId="4" fontId="18" fillId="2" borderId="32" xfId="0" applyNumberFormat="1" applyFont="1" applyFill="1" applyBorder="1" applyAlignment="1">
      <alignment horizontal="right" vertical="center" wrapText="1" indent="1"/>
    </xf>
    <xf numFmtId="4" fontId="12" fillId="2" borderId="32" xfId="0" applyNumberFormat="1" applyFont="1" applyFill="1" applyBorder="1" applyAlignment="1">
      <alignment horizontal="right" vertical="center" wrapText="1" indent="1"/>
    </xf>
    <xf numFmtId="4" fontId="2" fillId="2" borderId="32" xfId="0" applyNumberFormat="1" applyFont="1" applyFill="1" applyBorder="1" applyAlignment="1">
      <alignment horizontal="right" vertical="center" wrapText="1" indent="1"/>
    </xf>
    <xf numFmtId="49" fontId="18" fillId="2" borderId="32" xfId="0" applyNumberFormat="1" applyFont="1" applyFill="1" applyBorder="1" applyAlignment="1">
      <alignment horizontal="left" vertical="center"/>
    </xf>
    <xf numFmtId="0" fontId="17" fillId="2" borderId="32" xfId="0" applyFont="1" applyFill="1" applyBorder="1" applyAlignment="1">
      <alignment horizontal="left" vertical="center" indent="1"/>
    </xf>
    <xf numFmtId="0" fontId="17" fillId="2" borderId="32" xfId="0" applyFont="1" applyFill="1" applyBorder="1" applyAlignment="1">
      <alignment horizontal="right" vertical="center" wrapText="1" indent="1"/>
    </xf>
    <xf numFmtId="49" fontId="12" fillId="2" borderId="32" xfId="0" applyNumberFormat="1" applyFont="1" applyFill="1" applyBorder="1" applyAlignment="1">
      <alignment horizontal="right" vertical="center"/>
    </xf>
    <xf numFmtId="0" fontId="17" fillId="2" borderId="32" xfId="0" applyFont="1" applyFill="1" applyBorder="1" applyAlignment="1">
      <alignment horizontal="left" indent="1"/>
    </xf>
    <xf numFmtId="3" fontId="17" fillId="2" borderId="32" xfId="0" applyNumberFormat="1" applyFont="1" applyFill="1" applyBorder="1" applyAlignment="1">
      <alignment horizontal="right" vertical="center" wrapText="1" indent="1"/>
    </xf>
    <xf numFmtId="0" fontId="12" fillId="2" borderId="32" xfId="0" applyFont="1" applyFill="1" applyBorder="1" applyAlignment="1">
      <alignment horizontal="justify" vertical="center" wrapText="1"/>
    </xf>
    <xf numFmtId="0" fontId="18" fillId="2" borderId="32" xfId="0" applyFont="1" applyFill="1" applyBorder="1" applyAlignment="1">
      <alignment horizontal="justify" vertical="center" wrapText="1"/>
    </xf>
    <xf numFmtId="4" fontId="18" fillId="2" borderId="32" xfId="0" applyNumberFormat="1" applyFont="1" applyFill="1" applyBorder="1" applyAlignment="1">
      <alignment horizontal="right" vertical="center" indent="1"/>
    </xf>
    <xf numFmtId="0" fontId="12" fillId="2" borderId="32" xfId="0" applyFont="1" applyFill="1" applyBorder="1" applyAlignment="1">
      <alignment horizontal="justify" vertical="top" wrapText="1"/>
    </xf>
    <xf numFmtId="49" fontId="18" fillId="2" borderId="32" xfId="0" applyNumberFormat="1" applyFont="1" applyFill="1" applyBorder="1" applyAlignment="1">
      <alignment vertical="center"/>
    </xf>
    <xf numFmtId="0" fontId="18" fillId="2" borderId="32" xfId="0" applyFont="1" applyFill="1" applyBorder="1" applyAlignment="1">
      <alignment horizontal="left" indent="1"/>
    </xf>
    <xf numFmtId="0" fontId="12" fillId="2" borderId="32" xfId="0" applyFont="1" applyFill="1" applyBorder="1" applyAlignment="1">
      <alignment horizontal="right" vertical="center"/>
    </xf>
    <xf numFmtId="0" fontId="18" fillId="2" borderId="32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indent="1"/>
    </xf>
    <xf numFmtId="3" fontId="36" fillId="2" borderId="32" xfId="0" applyNumberFormat="1" applyFont="1" applyFill="1" applyBorder="1" applyAlignment="1">
      <alignment horizontal="right" vertical="center" indent="1"/>
    </xf>
    <xf numFmtId="4" fontId="36" fillId="2" borderId="32" xfId="0" applyNumberFormat="1" applyFont="1" applyFill="1" applyBorder="1" applyAlignment="1">
      <alignment horizontal="right" vertical="center" indent="1"/>
    </xf>
    <xf numFmtId="0" fontId="2" fillId="2" borderId="32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right" indent="1"/>
    </xf>
    <xf numFmtId="3" fontId="18" fillId="2" borderId="32" xfId="0" applyNumberFormat="1" applyFont="1" applyFill="1" applyBorder="1" applyAlignment="1">
      <alignment horizontal="right" vertical="center" indent="1"/>
    </xf>
    <xf numFmtId="0" fontId="4" fillId="2" borderId="23" xfId="0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right" vertical="center" wrapText="1" inden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4" fontId="17" fillId="2" borderId="32" xfId="0" applyNumberFormat="1" applyFont="1" applyFill="1" applyBorder="1" applyAlignment="1">
      <alignment horizontal="right" vertical="center" indent="1"/>
    </xf>
    <xf numFmtId="4" fontId="18" fillId="0" borderId="32" xfId="0" applyNumberFormat="1" applyFont="1" applyBorder="1" applyAlignment="1">
      <alignment horizontal="right" vertical="center" indent="1"/>
    </xf>
    <xf numFmtId="4" fontId="8" fillId="2" borderId="32" xfId="0" applyNumberFormat="1" applyFont="1" applyFill="1" applyBorder="1" applyAlignment="1">
      <alignment horizontal="left" vertical="center" wrapText="1" indent="1"/>
    </xf>
    <xf numFmtId="3" fontId="8" fillId="2" borderId="32" xfId="0" applyNumberFormat="1" applyFont="1" applyFill="1" applyBorder="1" applyAlignment="1">
      <alignment horizontal="right" vertical="center" wrapText="1" indent="1"/>
    </xf>
    <xf numFmtId="4" fontId="8" fillId="2" borderId="32" xfId="0" applyNumberFormat="1" applyFont="1" applyFill="1" applyBorder="1" applyAlignment="1">
      <alignment horizontal="right" vertical="center" wrapText="1" indent="1"/>
    </xf>
    <xf numFmtId="0" fontId="18" fillId="2" borderId="32" xfId="0" applyFont="1" applyFill="1" applyBorder="1" applyAlignment="1">
      <alignment horizontal="left" vertical="center" indent="1"/>
    </xf>
    <xf numFmtId="0" fontId="12" fillId="2" borderId="32" xfId="0" applyFont="1" applyFill="1" applyBorder="1" applyAlignment="1">
      <alignment vertical="center"/>
    </xf>
    <xf numFmtId="0" fontId="37" fillId="2" borderId="32" xfId="0" applyFont="1" applyFill="1" applyBorder="1" applyAlignment="1">
      <alignment horizontal="left" vertical="center" indent="1"/>
    </xf>
    <xf numFmtId="0" fontId="37" fillId="2" borderId="32" xfId="0" applyFont="1" applyFill="1" applyBorder="1" applyAlignment="1">
      <alignment horizontal="left" indent="1"/>
    </xf>
    <xf numFmtId="0" fontId="37" fillId="2" borderId="32" xfId="0" applyFont="1" applyFill="1" applyBorder="1" applyAlignment="1">
      <alignment horizontal="right" indent="1"/>
    </xf>
    <xf numFmtId="0" fontId="36" fillId="2" borderId="32" xfId="0" applyFont="1" applyFill="1" applyBorder="1" applyAlignment="1">
      <alignment vertical="center"/>
    </xf>
    <xf numFmtId="0" fontId="36" fillId="2" borderId="32" xfId="0" applyFont="1" applyFill="1" applyBorder="1" applyAlignment="1">
      <alignment horizontal="justify" vertical="center" wrapText="1"/>
    </xf>
    <xf numFmtId="4" fontId="36" fillId="0" borderId="32" xfId="0" applyNumberFormat="1" applyFont="1" applyBorder="1" applyAlignment="1">
      <alignment horizontal="right" vertical="center" indent="1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justify" vertical="center" wrapText="1"/>
    </xf>
    <xf numFmtId="0" fontId="12" fillId="0" borderId="32" xfId="0" applyFont="1" applyFill="1" applyBorder="1" applyAlignment="1">
      <alignment horizontal="left" vertical="center" indent="1"/>
    </xf>
    <xf numFmtId="0" fontId="12" fillId="0" borderId="32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right" vertical="center" indent="1"/>
    </xf>
    <xf numFmtId="4" fontId="2" fillId="0" borderId="32" xfId="0" applyNumberFormat="1" applyFont="1" applyBorder="1" applyAlignment="1">
      <alignment horizontal="right" vertical="center" indent="1"/>
    </xf>
    <xf numFmtId="0" fontId="18" fillId="2" borderId="23" xfId="0" applyFont="1" applyFill="1" applyBorder="1" applyAlignment="1">
      <alignment horizontal="left" vertical="center" wrapText="1"/>
    </xf>
    <xf numFmtId="0" fontId="36" fillId="2" borderId="32" xfId="0" applyFont="1" applyFill="1" applyBorder="1" applyAlignment="1">
      <alignment horizontal="center" vertical="center"/>
    </xf>
    <xf numFmtId="2" fontId="2" fillId="2" borderId="32" xfId="0" applyNumberFormat="1" applyFont="1" applyFill="1" applyBorder="1" applyAlignment="1">
      <alignment horizontal="right" vertical="center" wrapText="1" indent="1"/>
    </xf>
    <xf numFmtId="43" fontId="2" fillId="0" borderId="0" xfId="0" applyNumberFormat="1" applyFont="1"/>
    <xf numFmtId="4" fontId="4" fillId="2" borderId="32" xfId="5" applyNumberFormat="1" applyFont="1" applyFill="1" applyBorder="1" applyAlignment="1">
      <alignment horizontal="left" vertical="center" indent="1"/>
    </xf>
    <xf numFmtId="4" fontId="4" fillId="2" borderId="32" xfId="5" applyNumberFormat="1" applyFont="1" applyFill="1" applyBorder="1" applyAlignment="1">
      <alignment horizontal="right" vertical="center" indent="1"/>
    </xf>
    <xf numFmtId="4" fontId="3" fillId="2" borderId="32" xfId="0" applyNumberFormat="1" applyFont="1" applyFill="1" applyBorder="1" applyAlignment="1">
      <alignment horizontal="right" vertical="center" indent="1"/>
    </xf>
    <xf numFmtId="4" fontId="18" fillId="0" borderId="32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>
      <alignment horizontal="right" vertical="center" indent="1"/>
    </xf>
    <xf numFmtId="4" fontId="3" fillId="0" borderId="32" xfId="0" applyNumberFormat="1" applyFont="1" applyBorder="1" applyAlignment="1">
      <alignment horizontal="right" vertical="center" indent="1"/>
    </xf>
    <xf numFmtId="4" fontId="4" fillId="0" borderId="32" xfId="0" applyNumberFormat="1" applyFont="1" applyFill="1" applyBorder="1" applyAlignment="1">
      <alignment horizontal="right" vertical="center" indent="1"/>
    </xf>
    <xf numFmtId="4" fontId="4" fillId="0" borderId="32" xfId="0" applyNumberFormat="1" applyFont="1" applyBorder="1" applyAlignment="1">
      <alignment horizontal="right" vertical="center" indent="1"/>
    </xf>
    <xf numFmtId="4" fontId="3" fillId="0" borderId="32" xfId="9" applyNumberFormat="1" applyFont="1" applyBorder="1" applyAlignment="1">
      <alignment horizontal="right" vertical="center" indent="1"/>
    </xf>
    <xf numFmtId="4" fontId="3" fillId="2" borderId="32" xfId="0" applyNumberFormat="1" applyFont="1" applyFill="1" applyBorder="1" applyAlignment="1">
      <alignment horizontal="right" vertical="center" wrapText="1" indent="1"/>
    </xf>
    <xf numFmtId="4" fontId="4" fillId="2" borderId="35" xfId="5" applyNumberFormat="1" applyFont="1" applyFill="1" applyBorder="1" applyAlignment="1">
      <alignment horizontal="right" vertical="center" indent="1"/>
    </xf>
    <xf numFmtId="4" fontId="12" fillId="2" borderId="32" xfId="5" applyNumberFormat="1" applyFont="1" applyFill="1" applyBorder="1" applyAlignment="1">
      <alignment horizontal="right" vertical="center" indent="1"/>
    </xf>
    <xf numFmtId="4" fontId="12" fillId="2" borderId="32" xfId="5" applyNumberFormat="1" applyFont="1" applyFill="1" applyBorder="1" applyAlignment="1">
      <alignment horizontal="left" vertical="center" indent="1"/>
    </xf>
    <xf numFmtId="4" fontId="4" fillId="10" borderId="32" xfId="0" applyNumberFormat="1" applyFont="1" applyFill="1" applyBorder="1" applyAlignment="1">
      <alignment horizontal="right" vertical="center" wrapText="1" indent="1"/>
    </xf>
    <xf numFmtId="4" fontId="4" fillId="5" borderId="32" xfId="0" applyNumberFormat="1" applyFont="1" applyFill="1" applyBorder="1" applyAlignment="1">
      <alignment horizontal="right" vertical="center" wrapText="1" indent="1"/>
    </xf>
    <xf numFmtId="41" fontId="12" fillId="10" borderId="32" xfId="0" applyNumberFormat="1" applyFont="1" applyFill="1" applyBorder="1" applyAlignment="1">
      <alignment horizontal="right" vertical="center" wrapText="1" indent="1"/>
    </xf>
    <xf numFmtId="0" fontId="26" fillId="2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 wrapText="1"/>
    </xf>
    <xf numFmtId="171" fontId="25" fillId="0" borderId="32" xfId="13" applyNumberFormat="1" applyFont="1" applyBorder="1" applyAlignment="1">
      <alignment horizontal="right" vertical="center" indent="1"/>
    </xf>
    <xf numFmtId="173" fontId="25" fillId="0" borderId="32" xfId="0" applyNumberFormat="1" applyFont="1" applyBorder="1" applyAlignment="1">
      <alignment horizontal="right" vertical="center" indent="1"/>
    </xf>
    <xf numFmtId="0" fontId="30" fillId="2" borderId="32" xfId="0" applyFont="1" applyFill="1" applyBorder="1" applyAlignment="1">
      <alignment horizontal="left" vertical="center"/>
    </xf>
    <xf numFmtId="0" fontId="27" fillId="0" borderId="32" xfId="0" applyFont="1" applyBorder="1" applyAlignment="1">
      <alignment vertical="center" wrapText="1"/>
    </xf>
    <xf numFmtId="0" fontId="38" fillId="0" borderId="37" xfId="0" applyFont="1" applyBorder="1" applyAlignment="1">
      <alignment vertical="center"/>
    </xf>
    <xf numFmtId="0" fontId="38" fillId="0" borderId="32" xfId="0" applyFont="1" applyBorder="1" applyAlignment="1">
      <alignment horizontal="center" wrapText="1"/>
    </xf>
    <xf numFmtId="0" fontId="38" fillId="0" borderId="3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3" fontId="30" fillId="2" borderId="32" xfId="0" applyNumberFormat="1" applyFont="1" applyFill="1" applyBorder="1" applyAlignment="1">
      <alignment horizontal="right" vertical="center" indent="1"/>
    </xf>
    <xf numFmtId="4" fontId="8" fillId="2" borderId="23" xfId="0" applyNumberFormat="1" applyFont="1" applyFill="1" applyBorder="1" applyAlignment="1">
      <alignment horizontal="right" vertical="center" wrapText="1" indent="1"/>
    </xf>
    <xf numFmtId="49" fontId="18" fillId="0" borderId="32" xfId="5" applyNumberFormat="1" applyFont="1" applyFill="1" applyBorder="1" applyAlignment="1">
      <alignment vertical="center" wrapText="1"/>
    </xf>
    <xf numFmtId="0" fontId="17" fillId="0" borderId="32" xfId="5" applyFont="1" applyFill="1" applyBorder="1" applyAlignment="1">
      <alignment horizontal="left" indent="1"/>
    </xf>
    <xf numFmtId="0" fontId="17" fillId="0" borderId="32" xfId="5" applyFont="1" applyFill="1" applyBorder="1" applyAlignment="1">
      <alignment horizontal="right" indent="1"/>
    </xf>
    <xf numFmtId="3" fontId="18" fillId="0" borderId="32" xfId="5" applyNumberFormat="1" applyFont="1" applyFill="1" applyBorder="1" applyAlignment="1">
      <alignment horizontal="right" vertical="center" indent="1"/>
    </xf>
    <xf numFmtId="4" fontId="18" fillId="0" borderId="32" xfId="5" applyNumberFormat="1" applyFont="1" applyFill="1" applyBorder="1" applyAlignment="1">
      <alignment horizontal="right" vertical="center" indent="1"/>
    </xf>
    <xf numFmtId="49" fontId="12" fillId="0" borderId="32" xfId="5" applyNumberFormat="1" applyFont="1" applyFill="1" applyBorder="1" applyAlignment="1">
      <alignment horizontal="right" vertical="center"/>
    </xf>
    <xf numFmtId="0" fontId="12" fillId="0" borderId="32" xfId="5" applyFont="1" applyBorder="1" applyAlignment="1">
      <alignment vertical="center" wrapText="1"/>
    </xf>
    <xf numFmtId="0" fontId="12" fillId="0" borderId="32" xfId="5" applyFont="1" applyBorder="1" applyAlignment="1">
      <alignment horizontal="left" vertical="center" indent="1"/>
    </xf>
    <xf numFmtId="0" fontId="12" fillId="0" borderId="32" xfId="5" applyFont="1" applyFill="1" applyBorder="1" applyAlignment="1">
      <alignment horizontal="right" vertical="center" indent="1"/>
    </xf>
    <xf numFmtId="4" fontId="12" fillId="0" borderId="32" xfId="5" applyNumberFormat="1" applyFont="1" applyFill="1" applyBorder="1" applyAlignment="1">
      <alignment horizontal="right" vertical="center" indent="1"/>
    </xf>
    <xf numFmtId="3" fontId="12" fillId="0" borderId="32" xfId="5" applyNumberFormat="1" applyFont="1" applyFill="1" applyBorder="1" applyAlignment="1">
      <alignment horizontal="right" vertical="center" indent="1"/>
    </xf>
    <xf numFmtId="0" fontId="12" fillId="0" borderId="32" xfId="5" applyFont="1" applyBorder="1" applyAlignment="1">
      <alignment vertical="top" wrapText="1"/>
    </xf>
    <xf numFmtId="0" fontId="12" fillId="0" borderId="32" xfId="5" applyFont="1" applyBorder="1" applyAlignment="1">
      <alignment horizontal="left" vertical="center" wrapText="1" indent="1"/>
    </xf>
    <xf numFmtId="49" fontId="18" fillId="0" borderId="32" xfId="5" applyNumberFormat="1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17" fillId="0" borderId="32" xfId="5" applyFont="1" applyFill="1" applyBorder="1" applyAlignment="1">
      <alignment horizontal="right" vertical="center" indent="1"/>
    </xf>
    <xf numFmtId="3" fontId="18" fillId="0" borderId="32" xfId="0" applyNumberFormat="1" applyFont="1" applyFill="1" applyBorder="1" applyAlignment="1">
      <alignment horizontal="right" vertical="center" wrapText="1" indent="1"/>
    </xf>
    <xf numFmtId="4" fontId="18" fillId="0" borderId="32" xfId="0" applyNumberFormat="1" applyFont="1" applyFill="1" applyBorder="1" applyAlignment="1">
      <alignment horizontal="right" vertical="center" wrapText="1" indent="1"/>
    </xf>
    <xf numFmtId="0" fontId="17" fillId="0" borderId="32" xfId="0" applyFont="1" applyBorder="1" applyAlignment="1">
      <alignment horizontal="left" indent="1"/>
    </xf>
    <xf numFmtId="0" fontId="17" fillId="0" borderId="32" xfId="0" applyFont="1" applyBorder="1" applyAlignment="1">
      <alignment horizontal="right" indent="1"/>
    </xf>
    <xf numFmtId="49" fontId="18" fillId="0" borderId="32" xfId="5" applyNumberFormat="1" applyFont="1" applyFill="1" applyBorder="1" applyAlignment="1">
      <alignment horizontal="left" vertical="center"/>
    </xf>
    <xf numFmtId="0" fontId="18" fillId="0" borderId="32" xfId="5" applyFont="1" applyBorder="1" applyAlignment="1">
      <alignment vertical="center" wrapText="1"/>
    </xf>
    <xf numFmtId="0" fontId="18" fillId="0" borderId="32" xfId="5" applyFont="1" applyBorder="1" applyAlignment="1">
      <alignment horizontal="left" vertical="top" wrapText="1" indent="1"/>
    </xf>
    <xf numFmtId="0" fontId="18" fillId="0" borderId="32" xfId="5" applyFont="1" applyFill="1" applyBorder="1" applyAlignment="1">
      <alignment horizontal="left" vertical="center" indent="1"/>
    </xf>
    <xf numFmtId="0" fontId="18" fillId="0" borderId="32" xfId="5" applyFont="1" applyFill="1" applyBorder="1" applyAlignment="1">
      <alignment horizontal="right" vertical="center" indent="1"/>
    </xf>
    <xf numFmtId="49" fontId="18" fillId="0" borderId="32" xfId="5" applyNumberFormat="1" applyFont="1" applyFill="1" applyBorder="1" applyAlignment="1">
      <alignment horizontal="left" vertical="top"/>
    </xf>
    <xf numFmtId="0" fontId="18" fillId="0" borderId="32" xfId="5" applyFont="1" applyBorder="1" applyAlignment="1">
      <alignment horizontal="justify" vertical="top" wrapText="1"/>
    </xf>
    <xf numFmtId="49" fontId="4" fillId="0" borderId="32" xfId="5" applyNumberFormat="1" applyFont="1" applyFill="1" applyBorder="1" applyAlignment="1">
      <alignment horizontal="right" vertical="top"/>
    </xf>
    <xf numFmtId="0" fontId="12" fillId="0" borderId="32" xfId="5" applyFont="1" applyFill="1" applyBorder="1" applyAlignment="1">
      <alignment horizontal="left" vertical="center" indent="1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indent="1"/>
    </xf>
    <xf numFmtId="0" fontId="2" fillId="0" borderId="40" xfId="0" applyFont="1" applyFill="1" applyBorder="1" applyAlignment="1">
      <alignment vertical="center"/>
    </xf>
    <xf numFmtId="0" fontId="2" fillId="0" borderId="40" xfId="0" applyFont="1" applyBorder="1"/>
    <xf numFmtId="0" fontId="2" fillId="0" borderId="41" xfId="0" applyFont="1" applyBorder="1"/>
    <xf numFmtId="0" fontId="2" fillId="0" borderId="5" xfId="0" applyFont="1" applyBorder="1"/>
    <xf numFmtId="2" fontId="2" fillId="2" borderId="32" xfId="0" applyNumberFormat="1" applyFont="1" applyFill="1" applyBorder="1" applyAlignment="1">
      <alignment horizontal="right" vertical="center" indent="1"/>
    </xf>
    <xf numFmtId="0" fontId="4" fillId="7" borderId="32" xfId="0" applyFont="1" applyFill="1" applyBorder="1" applyAlignment="1">
      <alignment horizontal="right" vertical="center" wrapText="1" indent="1"/>
    </xf>
    <xf numFmtId="4" fontId="30" fillId="2" borderId="32" xfId="0" applyNumberFormat="1" applyFont="1" applyFill="1" applyBorder="1" applyAlignment="1">
      <alignment horizontal="right" vertical="center" indent="1"/>
    </xf>
    <xf numFmtId="0" fontId="2" fillId="0" borderId="42" xfId="0" applyFont="1" applyBorder="1"/>
    <xf numFmtId="2" fontId="2" fillId="0" borderId="32" xfId="0" applyNumberFormat="1" applyFont="1" applyBorder="1" applyAlignment="1">
      <alignment horizontal="right" vertical="center" indent="1"/>
    </xf>
    <xf numFmtId="4" fontId="2" fillId="2" borderId="44" xfId="0" applyNumberFormat="1" applyFont="1" applyFill="1" applyBorder="1" applyAlignment="1">
      <alignment horizontal="right" vertical="center" indent="1"/>
    </xf>
    <xf numFmtId="0" fontId="2" fillId="2" borderId="44" xfId="0" applyFont="1" applyFill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3" fontId="2" fillId="2" borderId="44" xfId="0" applyNumberFormat="1" applyFont="1" applyFill="1" applyBorder="1" applyAlignment="1">
      <alignment horizontal="right" vertical="center" indent="1"/>
    </xf>
    <xf numFmtId="4" fontId="18" fillId="2" borderId="44" xfId="0" applyNumberFormat="1" applyFont="1" applyFill="1" applyBorder="1" applyAlignment="1">
      <alignment horizontal="right" vertical="center" indent="1"/>
    </xf>
    <xf numFmtId="0" fontId="12" fillId="2" borderId="44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 indent="1"/>
    </xf>
    <xf numFmtId="4" fontId="23" fillId="0" borderId="44" xfId="11" applyNumberFormat="1" applyFont="1" applyFill="1" applyBorder="1" applyAlignment="1">
      <alignment horizontal="right" vertical="center" indent="1"/>
    </xf>
    <xf numFmtId="3" fontId="23" fillId="2" borderId="44" xfId="0" applyNumberFormat="1" applyFont="1" applyFill="1" applyBorder="1" applyAlignment="1">
      <alignment horizontal="right" vertical="center" wrapText="1" indent="1"/>
    </xf>
    <xf numFmtId="4" fontId="23" fillId="2" borderId="44" xfId="0" applyNumberFormat="1" applyFont="1" applyFill="1" applyBorder="1" applyAlignment="1">
      <alignment horizontal="right" vertical="center" wrapText="1" indent="1"/>
    </xf>
    <xf numFmtId="0" fontId="2" fillId="0" borderId="44" xfId="0" applyFont="1" applyBorder="1"/>
    <xf numFmtId="0" fontId="4" fillId="7" borderId="44" xfId="0" applyFont="1" applyFill="1" applyBorder="1" applyAlignment="1">
      <alignment horizontal="right" vertical="center" wrapText="1" indent="1"/>
    </xf>
    <xf numFmtId="0" fontId="2" fillId="0" borderId="4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indent="1"/>
    </xf>
    <xf numFmtId="0" fontId="2" fillId="2" borderId="46" xfId="0" applyFont="1" applyFill="1" applyBorder="1"/>
    <xf numFmtId="0" fontId="2" fillId="0" borderId="46" xfId="0" applyFont="1" applyBorder="1"/>
    <xf numFmtId="0" fontId="2" fillId="0" borderId="43" xfId="0" applyFont="1" applyBorder="1"/>
    <xf numFmtId="0" fontId="2" fillId="0" borderId="47" xfId="0" applyFont="1" applyBorder="1" applyAlignment="1">
      <alignment horizontal="left"/>
    </xf>
    <xf numFmtId="0" fontId="2" fillId="0" borderId="7" xfId="0" applyFont="1" applyBorder="1"/>
    <xf numFmtId="0" fontId="2" fillId="0" borderId="46" xfId="0" applyFont="1" applyFill="1" applyBorder="1" applyAlignment="1">
      <alignment vertical="center"/>
    </xf>
    <xf numFmtId="0" fontId="8" fillId="0" borderId="47" xfId="0" applyFont="1" applyBorder="1" applyAlignment="1">
      <alignment horizontal="left" vertical="center"/>
    </xf>
    <xf numFmtId="3" fontId="8" fillId="2" borderId="44" xfId="0" applyNumberFormat="1" applyFont="1" applyFill="1" applyBorder="1" applyAlignment="1">
      <alignment horizontal="right" vertical="center" wrapText="1" indent="1"/>
    </xf>
    <xf numFmtId="4" fontId="8" fillId="2" borderId="44" xfId="0" applyNumberFormat="1" applyFont="1" applyFill="1" applyBorder="1" applyAlignment="1">
      <alignment horizontal="right" vertical="center" wrapText="1" indent="1"/>
    </xf>
    <xf numFmtId="4" fontId="8" fillId="0" borderId="44" xfId="11" applyNumberFormat="1" applyFont="1" applyFill="1" applyBorder="1" applyAlignment="1">
      <alignment horizontal="right" vertical="center" indent="1"/>
    </xf>
    <xf numFmtId="0" fontId="2" fillId="2" borderId="44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left" vertical="center" wrapText="1" indent="1"/>
    </xf>
    <xf numFmtId="0" fontId="3" fillId="2" borderId="44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/>
    </xf>
    <xf numFmtId="3" fontId="12" fillId="2" borderId="44" xfId="0" applyNumberFormat="1" applyFont="1" applyFill="1" applyBorder="1" applyAlignment="1">
      <alignment horizontal="right" vertical="center" wrapText="1" indent="1"/>
    </xf>
    <xf numFmtId="0" fontId="12" fillId="2" borderId="44" xfId="0" applyFont="1" applyFill="1" applyBorder="1" applyAlignment="1">
      <alignment horizontal="left" vertical="center" wrapText="1"/>
    </xf>
    <xf numFmtId="1" fontId="3" fillId="2" borderId="44" xfId="0" applyNumberFormat="1" applyFont="1" applyFill="1" applyBorder="1" applyAlignment="1">
      <alignment horizontal="left" vertical="center" wrapText="1"/>
    </xf>
    <xf numFmtId="0" fontId="13" fillId="13" borderId="44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vertical="center"/>
    </xf>
    <xf numFmtId="4" fontId="2" fillId="2" borderId="44" xfId="9" applyNumberFormat="1" applyFont="1" applyFill="1" applyBorder="1" applyAlignment="1">
      <alignment horizontal="right" vertical="center" wrapText="1" indent="1"/>
    </xf>
    <xf numFmtId="3" fontId="13" fillId="13" borderId="44" xfId="0" applyNumberFormat="1" applyFont="1" applyFill="1" applyBorder="1" applyAlignment="1">
      <alignment horizontal="right" vertical="center" wrapText="1" indent="1"/>
    </xf>
    <xf numFmtId="0" fontId="2" fillId="2" borderId="44" xfId="0" applyFont="1" applyFill="1" applyBorder="1" applyAlignment="1">
      <alignment horizontal="right" vertical="center" indent="1"/>
    </xf>
    <xf numFmtId="2" fontId="2" fillId="0" borderId="44" xfId="0" applyNumberFormat="1" applyFont="1" applyBorder="1" applyAlignment="1">
      <alignment horizontal="right" vertical="center" indent="1"/>
    </xf>
    <xf numFmtId="4" fontId="18" fillId="2" borderId="44" xfId="0" applyNumberFormat="1" applyFont="1" applyFill="1" applyBorder="1" applyAlignment="1">
      <alignment horizontal="right" vertical="center" wrapText="1" indent="1"/>
    </xf>
    <xf numFmtId="0" fontId="2" fillId="0" borderId="44" xfId="0" applyFont="1" applyBorder="1" applyAlignment="1">
      <alignment vertical="center" wrapText="1"/>
    </xf>
    <xf numFmtId="0" fontId="32" fillId="2" borderId="44" xfId="0" applyFont="1" applyFill="1" applyBorder="1" applyAlignment="1">
      <alignment horizontal="center" vertical="center" wrapText="1"/>
    </xf>
    <xf numFmtId="3" fontId="18" fillId="2" borderId="44" xfId="0" applyNumberFormat="1" applyFont="1" applyFill="1" applyBorder="1" applyAlignment="1">
      <alignment horizontal="left" vertical="center" wrapText="1"/>
    </xf>
    <xf numFmtId="0" fontId="18" fillId="2" borderId="44" xfId="0" applyFont="1" applyFill="1" applyBorder="1" applyAlignment="1">
      <alignment vertical="center" wrapText="1"/>
    </xf>
    <xf numFmtId="0" fontId="18" fillId="2" borderId="44" xfId="0" applyFont="1" applyFill="1" applyBorder="1" applyAlignment="1">
      <alignment horizontal="left" vertical="center" wrapText="1" indent="1"/>
    </xf>
    <xf numFmtId="0" fontId="18" fillId="2" borderId="44" xfId="0" applyFont="1" applyFill="1" applyBorder="1" applyAlignment="1">
      <alignment horizontal="right" vertical="center" wrapText="1" indent="1"/>
    </xf>
    <xf numFmtId="0" fontId="2" fillId="2" borderId="44" xfId="0" applyFont="1" applyFill="1" applyBorder="1" applyAlignment="1">
      <alignment horizontal="justify" vertical="center"/>
    </xf>
    <xf numFmtId="4" fontId="2" fillId="2" borderId="44" xfId="9" applyNumberFormat="1" applyFont="1" applyFill="1" applyBorder="1" applyAlignment="1">
      <alignment horizontal="right" vertical="center" indent="1"/>
    </xf>
    <xf numFmtId="4" fontId="2" fillId="2" borderId="44" xfId="11" applyNumberFormat="1" applyFont="1" applyFill="1" applyBorder="1" applyAlignment="1">
      <alignment horizontal="right" vertical="center" indent="1"/>
    </xf>
    <xf numFmtId="0" fontId="18" fillId="0" borderId="44" xfId="0" applyFont="1" applyBorder="1" applyAlignment="1">
      <alignment horizontal="left" vertical="center"/>
    </xf>
    <xf numFmtId="0" fontId="17" fillId="0" borderId="44" xfId="0" applyFont="1" applyBorder="1"/>
    <xf numFmtId="0" fontId="17" fillId="0" borderId="44" xfId="0" applyFont="1" applyBorder="1" applyAlignment="1">
      <alignment horizontal="left" indent="1"/>
    </xf>
    <xf numFmtId="4" fontId="18" fillId="0" borderId="44" xfId="0" applyNumberFormat="1" applyFont="1" applyBorder="1" applyAlignment="1">
      <alignment horizontal="right" vertical="center" indent="1"/>
    </xf>
    <xf numFmtId="4" fontId="18" fillId="0" borderId="44" xfId="11" applyNumberFormat="1" applyFont="1" applyFill="1" applyBorder="1" applyAlignment="1">
      <alignment horizontal="right" vertical="center" indent="1"/>
    </xf>
    <xf numFmtId="0" fontId="2" fillId="0" borderId="44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right" vertical="center" indent="1"/>
    </xf>
    <xf numFmtId="171" fontId="2" fillId="0" borderId="44" xfId="13" applyNumberFormat="1" applyFont="1" applyBorder="1" applyAlignment="1">
      <alignment horizontal="right" vertical="center" indent="1"/>
    </xf>
    <xf numFmtId="173" fontId="2" fillId="0" borderId="44" xfId="0" applyNumberFormat="1" applyFont="1" applyBorder="1" applyAlignment="1">
      <alignment horizontal="right" vertical="center" indent="1"/>
    </xf>
    <xf numFmtId="0" fontId="2" fillId="0" borderId="44" xfId="0" applyFont="1" applyBorder="1" applyAlignment="1">
      <alignment horizontal="left" wrapText="1" indent="1"/>
    </xf>
    <xf numFmtId="0" fontId="12" fillId="0" borderId="44" xfId="0" applyFont="1" applyBorder="1" applyAlignment="1">
      <alignment horizontal="left" wrapText="1" indent="1"/>
    </xf>
    <xf numFmtId="0" fontId="12" fillId="0" borderId="44" xfId="0" applyFont="1" applyBorder="1" applyAlignment="1">
      <alignment horizontal="right" vertical="center" indent="1"/>
    </xf>
    <xf numFmtId="173" fontId="12" fillId="0" borderId="44" xfId="0" applyNumberFormat="1" applyFont="1" applyBorder="1" applyAlignment="1">
      <alignment horizontal="right" vertical="center" indent="1"/>
    </xf>
    <xf numFmtId="1" fontId="3" fillId="2" borderId="44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50" xfId="0" applyFont="1" applyBorder="1" applyAlignment="1">
      <alignment horizontal="left" vertical="center" indent="1"/>
    </xf>
    <xf numFmtId="2" fontId="2" fillId="0" borderId="50" xfId="0" applyNumberFormat="1" applyFont="1" applyBorder="1" applyAlignment="1">
      <alignment horizontal="right" vertical="center" indent="1"/>
    </xf>
    <xf numFmtId="0" fontId="2" fillId="0" borderId="50" xfId="0" applyFont="1" applyBorder="1" applyAlignment="1">
      <alignment horizontal="right" vertical="center" indent="1"/>
    </xf>
    <xf numFmtId="3" fontId="8" fillId="2" borderId="50" xfId="0" applyNumberFormat="1" applyFont="1" applyFill="1" applyBorder="1" applyAlignment="1">
      <alignment horizontal="right" vertical="center" indent="1"/>
    </xf>
    <xf numFmtId="4" fontId="8" fillId="2" borderId="50" xfId="11" applyNumberFormat="1" applyFont="1" applyFill="1" applyBorder="1" applyAlignment="1">
      <alignment horizontal="right" vertical="center" indent="1"/>
    </xf>
    <xf numFmtId="4" fontId="8" fillId="2" borderId="50" xfId="0" applyNumberFormat="1" applyFont="1" applyFill="1" applyBorder="1" applyAlignment="1">
      <alignment horizontal="right" vertical="center" indent="1"/>
    </xf>
    <xf numFmtId="1" fontId="3" fillId="2" borderId="50" xfId="0" applyNumberFormat="1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justify" vertical="center" wrapText="1"/>
    </xf>
    <xf numFmtId="3" fontId="2" fillId="2" borderId="50" xfId="0" applyNumberFormat="1" applyFont="1" applyFill="1" applyBorder="1" applyAlignment="1">
      <alignment horizontal="left" vertical="center" wrapText="1" indent="1"/>
    </xf>
    <xf numFmtId="3" fontId="2" fillId="2" borderId="50" xfId="0" applyNumberFormat="1" applyFont="1" applyFill="1" applyBorder="1" applyAlignment="1">
      <alignment horizontal="right" vertical="center" wrapText="1" indent="1"/>
    </xf>
    <xf numFmtId="4" fontId="2" fillId="2" borderId="50" xfId="11" applyNumberFormat="1" applyFont="1" applyFill="1" applyBorder="1" applyAlignment="1">
      <alignment horizontal="right" vertical="center" indent="1"/>
    </xf>
    <xf numFmtId="4" fontId="2" fillId="2" borderId="50" xfId="0" applyNumberFormat="1" applyFont="1" applyFill="1" applyBorder="1" applyAlignment="1">
      <alignment horizontal="right" vertical="center" wrapText="1" indent="1"/>
    </xf>
    <xf numFmtId="0" fontId="2" fillId="0" borderId="50" xfId="0" applyFont="1" applyBorder="1" applyAlignment="1">
      <alignment horizontal="left" indent="1"/>
    </xf>
    <xf numFmtId="4" fontId="2" fillId="0" borderId="50" xfId="11" applyNumberFormat="1" applyFont="1" applyBorder="1" applyAlignment="1">
      <alignment horizontal="right" vertical="center" indent="1"/>
    </xf>
    <xf numFmtId="0" fontId="12" fillId="0" borderId="50" xfId="0" applyFont="1" applyFill="1" applyBorder="1" applyAlignment="1">
      <alignment horizontal="left" vertical="center" wrapText="1" indent="1"/>
    </xf>
    <xf numFmtId="0" fontId="2" fillId="2" borderId="5" xfId="0" applyFont="1" applyFill="1" applyBorder="1"/>
    <xf numFmtId="0" fontId="2" fillId="0" borderId="53" xfId="0" applyFont="1" applyBorder="1" applyAlignment="1">
      <alignment horizontal="left"/>
    </xf>
    <xf numFmtId="0" fontId="2" fillId="0" borderId="15" xfId="0" applyFont="1" applyBorder="1"/>
    <xf numFmtId="3" fontId="23" fillId="0" borderId="11" xfId="0" applyNumberFormat="1" applyFont="1" applyBorder="1" applyAlignment="1">
      <alignment horizontal="right" vertical="center" indent="1"/>
    </xf>
    <xf numFmtId="4" fontId="23" fillId="0" borderId="11" xfId="0" applyNumberFormat="1" applyFont="1" applyBorder="1" applyAlignment="1">
      <alignment horizontal="right" vertical="center" indent="1"/>
    </xf>
    <xf numFmtId="2" fontId="23" fillId="0" borderId="11" xfId="0" applyNumberFormat="1" applyFont="1" applyBorder="1" applyAlignment="1">
      <alignment horizontal="right" vertical="center" inden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54" xfId="0" applyFont="1" applyBorder="1"/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8" fillId="0" borderId="56" xfId="0" applyNumberFormat="1" applyFont="1" applyBorder="1" applyAlignment="1">
      <alignment horizontal="right" vertical="center" indent="1"/>
    </xf>
    <xf numFmtId="0" fontId="27" fillId="2" borderId="56" xfId="0" applyFont="1" applyFill="1" applyBorder="1" applyAlignment="1"/>
    <xf numFmtId="0" fontId="8" fillId="0" borderId="53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3" fontId="8" fillId="2" borderId="56" xfId="0" applyNumberFormat="1" applyFont="1" applyFill="1" applyBorder="1" applyAlignment="1">
      <alignment horizontal="right" vertical="center" indent="1"/>
    </xf>
    <xf numFmtId="4" fontId="8" fillId="2" borderId="56" xfId="0" applyNumberFormat="1" applyFont="1" applyFill="1" applyBorder="1" applyAlignment="1">
      <alignment horizontal="right" vertical="center" indent="1"/>
    </xf>
    <xf numFmtId="0" fontId="18" fillId="0" borderId="53" xfId="0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 horizontal="right" vertical="center" wrapText="1" indent="1"/>
    </xf>
    <xf numFmtId="2" fontId="18" fillId="0" borderId="55" xfId="0" applyNumberFormat="1" applyFont="1" applyFill="1" applyBorder="1" applyAlignment="1">
      <alignment horizontal="right" vertical="center" wrapText="1" indent="1"/>
    </xf>
    <xf numFmtId="2" fontId="12" fillId="2" borderId="11" xfId="0" applyNumberFormat="1" applyFont="1" applyFill="1" applyBorder="1" applyAlignment="1">
      <alignment horizontal="right" vertical="center" indent="1"/>
    </xf>
    <xf numFmtId="3" fontId="12" fillId="2" borderId="11" xfId="1" applyNumberFormat="1" applyFont="1" applyFill="1" applyBorder="1" applyAlignment="1">
      <alignment horizontal="right" vertical="center" indent="1"/>
    </xf>
    <xf numFmtId="4" fontId="12" fillId="2" borderId="11" xfId="1" applyNumberFormat="1" applyFont="1" applyFill="1" applyBorder="1" applyAlignment="1">
      <alignment horizontal="right" vertical="center" indent="1"/>
    </xf>
    <xf numFmtId="3" fontId="12" fillId="2" borderId="11" xfId="1" applyNumberFormat="1" applyFont="1" applyFill="1" applyBorder="1" applyAlignment="1">
      <alignment horizontal="right" vertical="center" wrapText="1" indent="1"/>
    </xf>
    <xf numFmtId="4" fontId="13" fillId="2" borderId="11" xfId="0" applyNumberFormat="1" applyFont="1" applyFill="1" applyBorder="1" applyAlignment="1">
      <alignment horizontal="right" vertical="center" indent="1"/>
    </xf>
    <xf numFmtId="1" fontId="12" fillId="2" borderId="11" xfId="0" applyNumberFormat="1" applyFont="1" applyFill="1" applyBorder="1" applyAlignment="1">
      <alignment horizontal="right" vertical="center" wrapText="1" indent="1"/>
    </xf>
    <xf numFmtId="0" fontId="2" fillId="0" borderId="53" xfId="0" applyFont="1" applyFill="1" applyBorder="1" applyAlignment="1">
      <alignment horizontal="left" vertical="center" wrapText="1"/>
    </xf>
    <xf numFmtId="2" fontId="13" fillId="2" borderId="11" xfId="0" applyNumberFormat="1" applyFont="1" applyFill="1" applyBorder="1" applyAlignment="1">
      <alignment horizontal="right" vertical="center" indent="1"/>
    </xf>
    <xf numFmtId="2" fontId="18" fillId="2" borderId="11" xfId="0" applyNumberFormat="1" applyFont="1" applyFill="1" applyBorder="1" applyAlignment="1">
      <alignment horizontal="right" vertical="center" indent="1"/>
    </xf>
    <xf numFmtId="164" fontId="12" fillId="2" borderId="11" xfId="0" applyNumberFormat="1" applyFont="1" applyFill="1" applyBorder="1" applyAlignment="1">
      <alignment horizontal="right" vertical="center" wrapText="1" indent="1"/>
    </xf>
    <xf numFmtId="3" fontId="18" fillId="0" borderId="11" xfId="0" applyNumberFormat="1" applyFont="1" applyBorder="1" applyAlignment="1">
      <alignment vertical="center"/>
    </xf>
    <xf numFmtId="0" fontId="12" fillId="2" borderId="56" xfId="0" applyFont="1" applyFill="1" applyBorder="1" applyAlignment="1">
      <alignment horizontal="left" vertical="center" wrapText="1" indent="1"/>
    </xf>
    <xf numFmtId="0" fontId="4" fillId="2" borderId="19" xfId="0" applyFont="1" applyFill="1" applyBorder="1" applyAlignment="1">
      <alignment horizontal="left" vertical="center" wrapText="1" indent="1"/>
    </xf>
    <xf numFmtId="4" fontId="8" fillId="2" borderId="11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right" vertical="center" wrapText="1" indent="1"/>
    </xf>
    <xf numFmtId="3" fontId="8" fillId="2" borderId="57" xfId="0" applyNumberFormat="1" applyFont="1" applyFill="1" applyBorder="1" applyAlignment="1">
      <alignment horizontal="right" vertical="center" wrapText="1" indent="1"/>
    </xf>
    <xf numFmtId="4" fontId="8" fillId="2" borderId="57" xfId="0" applyNumberFormat="1" applyFont="1" applyFill="1" applyBorder="1" applyAlignment="1">
      <alignment horizontal="right" vertical="center" wrapText="1" indent="1"/>
    </xf>
    <xf numFmtId="0" fontId="4" fillId="15" borderId="57" xfId="0" applyFont="1" applyFill="1" applyBorder="1" applyAlignment="1">
      <alignment horizontal="left" vertical="center" wrapText="1"/>
    </xf>
    <xf numFmtId="0" fontId="50" fillId="15" borderId="57" xfId="0" applyNumberFormat="1" applyFont="1" applyFill="1" applyBorder="1" applyAlignment="1">
      <alignment horizontal="left" vertical="center" indent="1"/>
    </xf>
    <xf numFmtId="0" fontId="50" fillId="15" borderId="57" xfId="0" applyNumberFormat="1" applyFont="1" applyFill="1" applyBorder="1" applyAlignment="1">
      <alignment horizontal="right" vertical="center" wrapText="1" indent="1"/>
    </xf>
    <xf numFmtId="0" fontId="11" fillId="2" borderId="57" xfId="0" applyFont="1" applyFill="1" applyBorder="1" applyAlignment="1">
      <alignment horizontal="right" vertical="center"/>
    </xf>
    <xf numFmtId="0" fontId="11" fillId="2" borderId="57" xfId="0" applyFont="1" applyFill="1" applyBorder="1" applyAlignment="1">
      <alignment horizontal="left" vertical="center" wrapText="1"/>
    </xf>
    <xf numFmtId="0" fontId="11" fillId="2" borderId="57" xfId="0" applyNumberFormat="1" applyFont="1" applyFill="1" applyBorder="1" applyAlignment="1">
      <alignment horizontal="left" vertical="center" wrapText="1" indent="1"/>
    </xf>
    <xf numFmtId="0" fontId="2" fillId="2" borderId="57" xfId="0" applyNumberFormat="1" applyFont="1" applyFill="1" applyBorder="1" applyAlignment="1">
      <alignment horizontal="left" vertical="center" indent="1"/>
    </xf>
    <xf numFmtId="0" fontId="11" fillId="2" borderId="57" xfId="0" applyNumberFormat="1" applyFont="1" applyFill="1" applyBorder="1" applyAlignment="1">
      <alignment horizontal="right" vertical="center" wrapText="1" indent="1"/>
    </xf>
    <xf numFmtId="4" fontId="11" fillId="2" borderId="57" xfId="0" applyNumberFormat="1" applyFont="1" applyFill="1" applyBorder="1" applyAlignment="1">
      <alignment horizontal="right" vertical="center" wrapText="1" indent="1"/>
    </xf>
    <xf numFmtId="3" fontId="2" fillId="2" borderId="57" xfId="0" applyNumberFormat="1" applyFont="1" applyFill="1" applyBorder="1" applyAlignment="1">
      <alignment horizontal="right" vertical="center" indent="1"/>
    </xf>
    <xf numFmtId="0" fontId="2" fillId="2" borderId="57" xfId="0" applyNumberFormat="1" applyFont="1" applyFill="1" applyBorder="1" applyAlignment="1">
      <alignment horizontal="left" vertical="center" wrapText="1" indent="1"/>
    </xf>
    <xf numFmtId="0" fontId="10" fillId="2" borderId="57" xfId="0" applyNumberFormat="1" applyFont="1" applyFill="1" applyBorder="1" applyAlignment="1">
      <alignment horizontal="left" vertical="center" wrapText="1" indent="1"/>
    </xf>
    <xf numFmtId="0" fontId="12" fillId="2" borderId="57" xfId="0" applyNumberFormat="1" applyFont="1" applyFill="1" applyBorder="1" applyAlignment="1">
      <alignment horizontal="left" vertical="center" wrapText="1" indent="1"/>
    </xf>
    <xf numFmtId="2" fontId="11" fillId="2" borderId="57" xfId="0" applyNumberFormat="1" applyFont="1" applyFill="1" applyBorder="1" applyAlignment="1">
      <alignment horizontal="right" vertical="center"/>
    </xf>
    <xf numFmtId="0" fontId="11" fillId="2" borderId="57" xfId="0" applyNumberFormat="1" applyFont="1" applyFill="1" applyBorder="1" applyAlignment="1">
      <alignment horizontal="right" vertical="center" indent="1"/>
    </xf>
    <xf numFmtId="0" fontId="12" fillId="2" borderId="57" xfId="0" applyFont="1" applyFill="1" applyBorder="1" applyAlignment="1">
      <alignment horizontal="left" vertical="center" wrapText="1"/>
    </xf>
    <xf numFmtId="0" fontId="12" fillId="2" borderId="57" xfId="0" applyNumberFormat="1" applyFont="1" applyFill="1" applyBorder="1" applyAlignment="1">
      <alignment horizontal="left" vertical="center" indent="1"/>
    </xf>
    <xf numFmtId="0" fontId="12" fillId="2" borderId="57" xfId="0" applyNumberFormat="1" applyFont="1" applyFill="1" applyBorder="1" applyAlignment="1">
      <alignment horizontal="right" vertical="center" wrapText="1" indent="1"/>
    </xf>
    <xf numFmtId="3" fontId="12" fillId="2" borderId="57" xfId="0" applyNumberFormat="1" applyFont="1" applyFill="1" applyBorder="1" applyAlignment="1">
      <alignment horizontal="right" vertical="center" indent="1"/>
    </xf>
    <xf numFmtId="0" fontId="2" fillId="2" borderId="57" xfId="0" applyNumberFormat="1" applyFont="1" applyFill="1" applyBorder="1" applyAlignment="1">
      <alignment horizontal="right" vertical="center" wrapText="1" indent="1"/>
    </xf>
    <xf numFmtId="0" fontId="11" fillId="2" borderId="57" xfId="0" applyNumberFormat="1" applyFont="1" applyFill="1" applyBorder="1" applyAlignment="1">
      <alignment horizontal="left" vertical="center" indent="1"/>
    </xf>
    <xf numFmtId="0" fontId="11" fillId="2" borderId="57" xfId="0" applyNumberFormat="1" applyFont="1" applyFill="1" applyBorder="1" applyAlignment="1">
      <alignment horizontal="right" wrapText="1" indent="1"/>
    </xf>
    <xf numFmtId="0" fontId="11" fillId="2" borderId="57" xfId="0" applyFont="1" applyFill="1" applyBorder="1" applyAlignment="1">
      <alignment horizontal="left" wrapText="1"/>
    </xf>
    <xf numFmtId="3" fontId="12" fillId="2" borderId="57" xfId="0" applyNumberFormat="1" applyFont="1" applyFill="1" applyBorder="1" applyAlignment="1">
      <alignment horizontal="right" vertical="center" wrapText="1" indent="1"/>
    </xf>
    <xf numFmtId="0" fontId="12" fillId="2" borderId="57" xfId="0" applyFont="1" applyFill="1" applyBorder="1" applyAlignment="1">
      <alignment horizontal="right" vertical="center"/>
    </xf>
    <xf numFmtId="0" fontId="2" fillId="4" borderId="57" xfId="0" applyNumberFormat="1" applyFont="1" applyFill="1" applyBorder="1" applyAlignment="1">
      <alignment horizontal="right" vertical="center" wrapText="1" indent="1"/>
    </xf>
    <xf numFmtId="0" fontId="2" fillId="2" borderId="57" xfId="0" applyNumberFormat="1" applyFont="1" applyFill="1" applyBorder="1" applyAlignment="1">
      <alignment horizontal="right" wrapText="1" indent="1"/>
    </xf>
    <xf numFmtId="0" fontId="2" fillId="15" borderId="57" xfId="0" applyNumberFormat="1" applyFont="1" applyFill="1" applyBorder="1" applyAlignment="1">
      <alignment horizontal="left" vertical="center" indent="1"/>
    </xf>
    <xf numFmtId="3" fontId="2" fillId="15" borderId="57" xfId="0" applyNumberFormat="1" applyFont="1" applyFill="1" applyBorder="1" applyAlignment="1">
      <alignment horizontal="right" vertical="center" indent="1"/>
    </xf>
    <xf numFmtId="0" fontId="12" fillId="15" borderId="57" xfId="0" applyFont="1" applyFill="1" applyBorder="1" applyAlignment="1">
      <alignment horizontal="right" vertical="center"/>
    </xf>
    <xf numFmtId="0" fontId="2" fillId="15" borderId="57" xfId="0" applyNumberFormat="1" applyFont="1" applyFill="1" applyBorder="1" applyAlignment="1">
      <alignment horizontal="right" vertical="center" wrapText="1" indent="1"/>
    </xf>
    <xf numFmtId="0" fontId="2" fillId="15" borderId="57" xfId="0" applyNumberFormat="1" applyFont="1" applyFill="1" applyBorder="1" applyAlignment="1">
      <alignment horizontal="left" vertical="center" wrapText="1" indent="1"/>
    </xf>
    <xf numFmtId="177" fontId="23" fillId="2" borderId="57" xfId="0" applyNumberFormat="1" applyFont="1" applyFill="1" applyBorder="1" applyAlignment="1">
      <alignment vertical="center"/>
    </xf>
    <xf numFmtId="43" fontId="23" fillId="2" borderId="57" xfId="0" applyNumberFormat="1" applyFont="1" applyFill="1" applyBorder="1" applyAlignment="1">
      <alignment vertical="center"/>
    </xf>
    <xf numFmtId="2" fontId="23" fillId="0" borderId="57" xfId="0" applyNumberFormat="1" applyFont="1" applyBorder="1" applyAlignment="1">
      <alignment horizontal="right" vertical="center" indent="1"/>
    </xf>
    <xf numFmtId="0" fontId="4" fillId="0" borderId="57" xfId="0" applyFont="1" applyFill="1" applyBorder="1" applyAlignment="1">
      <alignment horizontal="right" vertical="center" wrapText="1" indent="2"/>
    </xf>
    <xf numFmtId="0" fontId="18" fillId="0" borderId="5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3" fontId="2" fillId="0" borderId="57" xfId="0" applyNumberFormat="1" applyFont="1" applyBorder="1" applyAlignment="1">
      <alignment horizontal="right" vertical="center" wrapText="1" indent="1"/>
    </xf>
    <xf numFmtId="4" fontId="2" fillId="0" borderId="57" xfId="0" applyNumberFormat="1" applyFont="1" applyBorder="1" applyAlignment="1">
      <alignment horizontal="right" vertical="center" wrapText="1" indent="1"/>
    </xf>
    <xf numFmtId="3" fontId="2" fillId="0" borderId="57" xfId="0" applyNumberFormat="1" applyFont="1" applyFill="1" applyBorder="1" applyAlignment="1">
      <alignment horizontal="right" vertical="center" wrapText="1" indent="1"/>
    </xf>
    <xf numFmtId="4" fontId="2" fillId="0" borderId="57" xfId="0" applyNumberFormat="1" applyFont="1" applyFill="1" applyBorder="1" applyAlignment="1">
      <alignment horizontal="right" vertical="center" wrapText="1" indent="1"/>
    </xf>
    <xf numFmtId="0" fontId="2" fillId="0" borderId="6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right" vertical="center" indent="1"/>
    </xf>
    <xf numFmtId="0" fontId="2" fillId="0" borderId="60" xfId="0" applyFont="1" applyFill="1" applyBorder="1" applyAlignment="1">
      <alignment horizontal="left" vertical="center" indent="1"/>
    </xf>
    <xf numFmtId="0" fontId="2" fillId="2" borderId="60" xfId="0" applyFont="1" applyFill="1" applyBorder="1"/>
    <xf numFmtId="0" fontId="2" fillId="2" borderId="61" xfId="0" applyFont="1" applyFill="1" applyBorder="1"/>
    <xf numFmtId="0" fontId="2" fillId="0" borderId="57" xfId="0" applyFont="1" applyBorder="1" applyAlignment="1">
      <alignment horizontal="left"/>
    </xf>
    <xf numFmtId="0" fontId="2" fillId="0" borderId="57" xfId="0" applyFont="1" applyBorder="1"/>
    <xf numFmtId="3" fontId="8" fillId="0" borderId="57" xfId="0" applyNumberFormat="1" applyFont="1" applyFill="1" applyBorder="1" applyAlignment="1">
      <alignment horizontal="right" vertical="center" wrapText="1" indent="1"/>
    </xf>
    <xf numFmtId="4" fontId="8" fillId="0" borderId="57" xfId="0" applyNumberFormat="1" applyFont="1" applyFill="1" applyBorder="1" applyAlignment="1">
      <alignment horizontal="right" vertical="center" wrapText="1" indent="1"/>
    </xf>
    <xf numFmtId="0" fontId="4" fillId="7" borderId="57" xfId="0" applyFont="1" applyFill="1" applyBorder="1" applyAlignment="1">
      <alignment horizontal="right" vertical="center" wrapText="1" indent="1"/>
    </xf>
    <xf numFmtId="0" fontId="27" fillId="2" borderId="57" xfId="0" applyFont="1" applyFill="1" applyBorder="1" applyAlignment="1">
      <alignment horizontal="left" vertical="center" indent="1"/>
    </xf>
    <xf numFmtId="0" fontId="27" fillId="2" borderId="57" xfId="0" applyFont="1" applyFill="1" applyBorder="1" applyAlignment="1">
      <alignment horizontal="left" vertical="center" wrapText="1" indent="1"/>
    </xf>
    <xf numFmtId="1" fontId="27" fillId="2" borderId="57" xfId="0" applyNumberFormat="1" applyFont="1" applyFill="1" applyBorder="1" applyAlignment="1">
      <alignment horizontal="right" vertical="center" wrapText="1" indent="1"/>
    </xf>
    <xf numFmtId="0" fontId="4" fillId="0" borderId="57" xfId="0" applyFont="1" applyFill="1" applyBorder="1" applyAlignment="1">
      <alignment horizontal="left" vertical="center"/>
    </xf>
    <xf numFmtId="0" fontId="18" fillId="0" borderId="57" xfId="0" applyFont="1" applyFill="1" applyBorder="1" applyAlignment="1">
      <alignment horizontal="left" vertical="center" wrapText="1"/>
    </xf>
    <xf numFmtId="0" fontId="17" fillId="0" borderId="57" xfId="0" applyFont="1" applyBorder="1" applyAlignment="1">
      <alignment horizontal="left" indent="1"/>
    </xf>
    <xf numFmtId="0" fontId="18" fillId="0" borderId="57" xfId="0" applyFont="1" applyFill="1" applyBorder="1" applyAlignment="1">
      <alignment horizontal="left" vertical="center" indent="1"/>
    </xf>
    <xf numFmtId="1" fontId="18" fillId="0" borderId="57" xfId="0" applyNumberFormat="1" applyFont="1" applyFill="1" applyBorder="1" applyAlignment="1">
      <alignment horizontal="right" vertical="center" indent="1"/>
    </xf>
    <xf numFmtId="3" fontId="18" fillId="0" borderId="57" xfId="0" applyNumberFormat="1" applyFont="1" applyFill="1" applyBorder="1" applyAlignment="1">
      <alignment horizontal="right" vertical="center" indent="1"/>
    </xf>
    <xf numFmtId="49" fontId="3" fillId="2" borderId="57" xfId="0" applyNumberFormat="1" applyFont="1" applyFill="1" applyBorder="1" applyAlignment="1">
      <alignment vertical="center" wrapText="1"/>
    </xf>
    <xf numFmtId="0" fontId="12" fillId="2" borderId="57" xfId="0" applyFont="1" applyFill="1" applyBorder="1" applyAlignment="1">
      <alignment horizontal="left" vertical="center" indent="1"/>
    </xf>
    <xf numFmtId="0" fontId="18" fillId="2" borderId="57" xfId="0" applyFont="1" applyFill="1" applyBorder="1" applyAlignment="1">
      <alignment horizontal="left" vertical="center" indent="1"/>
    </xf>
    <xf numFmtId="1" fontId="18" fillId="2" borderId="57" xfId="0" applyNumberFormat="1" applyFont="1" applyFill="1" applyBorder="1" applyAlignment="1">
      <alignment horizontal="right" vertical="center" indent="1"/>
    </xf>
    <xf numFmtId="49" fontId="12" fillId="0" borderId="57" xfId="0" applyNumberFormat="1" applyFont="1" applyFill="1" applyBorder="1" applyAlignment="1">
      <alignment horizontal="right" vertical="center"/>
    </xf>
    <xf numFmtId="0" fontId="12" fillId="2" borderId="57" xfId="8" applyFont="1" applyFill="1" applyBorder="1" applyAlignment="1">
      <alignment horizontal="left" vertical="center" wrapText="1" indent="1"/>
    </xf>
    <xf numFmtId="0" fontId="13" fillId="2" borderId="57" xfId="0" applyFont="1" applyFill="1" applyBorder="1" applyAlignment="1">
      <alignment horizontal="right" vertical="center" wrapText="1" indent="1"/>
    </xf>
    <xf numFmtId="2" fontId="13" fillId="2" borderId="57" xfId="0" applyNumberFormat="1" applyFont="1" applyFill="1" applyBorder="1" applyAlignment="1">
      <alignment horizontal="right" vertical="center" wrapText="1" indent="1"/>
    </xf>
    <xf numFmtId="0" fontId="12" fillId="2" borderId="57" xfId="0" applyFont="1" applyFill="1" applyBorder="1" applyAlignment="1">
      <alignment vertical="center"/>
    </xf>
    <xf numFmtId="0" fontId="2" fillId="2" borderId="57" xfId="0" applyFont="1" applyFill="1" applyBorder="1" applyAlignment="1">
      <alignment horizontal="left" vertical="center" indent="1"/>
    </xf>
    <xf numFmtId="49" fontId="2" fillId="2" borderId="57" xfId="0" applyNumberFormat="1" applyFont="1" applyFill="1" applyBorder="1" applyAlignment="1">
      <alignment horizontal="right" vertical="center" indent="1"/>
    </xf>
    <xf numFmtId="49" fontId="4" fillId="0" borderId="57" xfId="0" applyNumberFormat="1" applyFont="1" applyFill="1" applyBorder="1" applyAlignment="1">
      <alignment horizontal="left" vertical="center"/>
    </xf>
    <xf numFmtId="0" fontId="4" fillId="2" borderId="57" xfId="0" applyFont="1" applyFill="1" applyBorder="1" applyAlignment="1">
      <alignment vertical="center"/>
    </xf>
    <xf numFmtId="49" fontId="12" fillId="0" borderId="57" xfId="0" applyNumberFormat="1" applyFont="1" applyFill="1" applyBorder="1" applyAlignment="1">
      <alignment horizontal="right" vertical="center" wrapText="1"/>
    </xf>
    <xf numFmtId="0" fontId="3" fillId="0" borderId="57" xfId="0" applyFont="1" applyFill="1" applyBorder="1" applyAlignment="1">
      <alignment horizontal="left" vertical="center"/>
    </xf>
    <xf numFmtId="0" fontId="4" fillId="2" borderId="57" xfId="0" applyFont="1" applyFill="1" applyBorder="1" applyAlignment="1">
      <alignment vertical="center" wrapText="1"/>
    </xf>
    <xf numFmtId="0" fontId="12" fillId="2" borderId="57" xfId="0" applyFont="1" applyFill="1" applyBorder="1" applyAlignment="1">
      <alignment horizontal="left" vertical="center" wrapText="1" indent="1"/>
    </xf>
    <xf numFmtId="0" fontId="12" fillId="2" borderId="57" xfId="0" applyFont="1" applyFill="1" applyBorder="1" applyAlignment="1">
      <alignment horizontal="right" vertical="center" indent="1"/>
    </xf>
    <xf numFmtId="0" fontId="12" fillId="2" borderId="5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left" vertical="center"/>
    </xf>
    <xf numFmtId="0" fontId="19" fillId="2" borderId="57" xfId="0" applyFont="1" applyFill="1" applyBorder="1" applyAlignment="1">
      <alignment vertical="center" wrapText="1"/>
    </xf>
    <xf numFmtId="0" fontId="19" fillId="2" borderId="57" xfId="0" applyFont="1" applyFill="1" applyBorder="1" applyAlignment="1">
      <alignment horizontal="left" vertical="center" wrapText="1" indent="1"/>
    </xf>
    <xf numFmtId="0" fontId="19" fillId="2" borderId="57" xfId="0" applyFont="1" applyFill="1" applyBorder="1" applyAlignment="1">
      <alignment horizontal="right" vertical="center" wrapText="1" indent="1"/>
    </xf>
    <xf numFmtId="0" fontId="13" fillId="2" borderId="57" xfId="0" applyFont="1" applyFill="1" applyBorder="1" applyAlignment="1">
      <alignment vertical="center" wrapText="1"/>
    </xf>
    <xf numFmtId="0" fontId="13" fillId="2" borderId="57" xfId="0" applyFont="1" applyFill="1" applyBorder="1" applyAlignment="1">
      <alignment horizontal="left" vertical="center" wrapText="1" indent="1"/>
    </xf>
    <xf numFmtId="0" fontId="3" fillId="2" borderId="57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horizontal="right" vertical="center" indent="1"/>
    </xf>
    <xf numFmtId="0" fontId="2" fillId="2" borderId="57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left" vertical="center" wrapText="1" indent="1"/>
    </xf>
    <xf numFmtId="0" fontId="4" fillId="2" borderId="57" xfId="0" applyFont="1" applyFill="1" applyBorder="1" applyAlignment="1">
      <alignment horizontal="right" vertical="center" indent="1"/>
    </xf>
    <xf numFmtId="0" fontId="3" fillId="0" borderId="57" xfId="0" applyNumberFormat="1" applyFont="1" applyFill="1" applyBorder="1" applyAlignment="1">
      <alignment horizontal="left" vertical="center"/>
    </xf>
    <xf numFmtId="0" fontId="3" fillId="2" borderId="57" xfId="0" applyFont="1" applyFill="1" applyBorder="1" applyAlignment="1">
      <alignment vertical="center"/>
    </xf>
    <xf numFmtId="0" fontId="3" fillId="2" borderId="57" xfId="0" applyFont="1" applyFill="1" applyBorder="1" applyAlignment="1">
      <alignment horizontal="left" vertical="center" indent="1"/>
    </xf>
    <xf numFmtId="0" fontId="3" fillId="2" borderId="57" xfId="0" applyFont="1" applyFill="1" applyBorder="1" applyAlignment="1">
      <alignment horizontal="right" vertical="center" indent="1"/>
    </xf>
    <xf numFmtId="0" fontId="13" fillId="2" borderId="57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indent="1"/>
    </xf>
    <xf numFmtId="0" fontId="2" fillId="2" borderId="57" xfId="0" applyFont="1" applyFill="1" applyBorder="1" applyAlignment="1">
      <alignment horizontal="right" indent="1"/>
    </xf>
    <xf numFmtId="0" fontId="19" fillId="2" borderId="57" xfId="0" applyFont="1" applyFill="1" applyBorder="1" applyAlignment="1">
      <alignment horizontal="justify" vertical="center" wrapText="1"/>
    </xf>
    <xf numFmtId="0" fontId="13" fillId="2" borderId="57" xfId="0" applyFont="1" applyFill="1" applyBorder="1" applyAlignment="1">
      <alignment horizontal="justify" vertical="center" wrapText="1"/>
    </xf>
    <xf numFmtId="0" fontId="2" fillId="2" borderId="57" xfId="0" applyFont="1" applyFill="1" applyBorder="1" applyAlignment="1">
      <alignment horizontal="right" vertical="center" wrapText="1" indent="1"/>
    </xf>
    <xf numFmtId="0" fontId="3" fillId="0" borderId="57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 indent="1"/>
    </xf>
    <xf numFmtId="0" fontId="2" fillId="0" borderId="57" xfId="0" applyFont="1" applyFill="1" applyBorder="1" applyAlignment="1">
      <alignment horizontal="left" indent="1"/>
    </xf>
    <xf numFmtId="0" fontId="2" fillId="0" borderId="57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left" vertical="center" indent="1"/>
    </xf>
    <xf numFmtId="0" fontId="12" fillId="0" borderId="57" xfId="0" applyFont="1" applyFill="1" applyBorder="1" applyAlignment="1">
      <alignment horizontal="right" vertical="center" indent="1"/>
    </xf>
    <xf numFmtId="0" fontId="2" fillId="0" borderId="57" xfId="0" applyFont="1" applyBorder="1" applyAlignment="1">
      <alignment horizontal="right" vertical="center" indent="1"/>
    </xf>
    <xf numFmtId="49" fontId="3" fillId="2" borderId="57" xfId="0" applyNumberFormat="1" applyFont="1" applyFill="1" applyBorder="1" applyAlignment="1">
      <alignment horizontal="left" vertical="center" indent="1"/>
    </xf>
    <xf numFmtId="49" fontId="3" fillId="2" borderId="57" xfId="0" applyNumberFormat="1" applyFont="1" applyFill="1" applyBorder="1" applyAlignment="1">
      <alignment horizontal="right" vertical="center" indent="1"/>
    </xf>
    <xf numFmtId="49" fontId="2" fillId="2" borderId="57" xfId="0" applyNumberFormat="1" applyFont="1" applyFill="1" applyBorder="1" applyAlignment="1">
      <alignment horizontal="left" vertical="top" indent="1"/>
    </xf>
    <xf numFmtId="49" fontId="2" fillId="2" borderId="57" xfId="0" applyNumberFormat="1" applyFont="1" applyFill="1" applyBorder="1" applyAlignment="1">
      <alignment horizontal="right" vertical="top" indent="1"/>
    </xf>
    <xf numFmtId="0" fontId="13" fillId="2" borderId="57" xfId="0" applyFont="1" applyFill="1" applyBorder="1" applyAlignment="1">
      <alignment horizontal="left" vertical="top" wrapText="1" indent="1"/>
    </xf>
    <xf numFmtId="0" fontId="13" fillId="2" borderId="57" xfId="0" applyFont="1" applyFill="1" applyBorder="1" applyAlignment="1">
      <alignment horizontal="right" vertical="top" wrapText="1" indent="1"/>
    </xf>
    <xf numFmtId="49" fontId="2" fillId="2" borderId="57" xfId="0" applyNumberFormat="1" applyFont="1" applyFill="1" applyBorder="1" applyAlignment="1">
      <alignment horizontal="left" vertical="center" indent="1"/>
    </xf>
    <xf numFmtId="4" fontId="10" fillId="2" borderId="57" xfId="0" applyNumberFormat="1" applyFont="1" applyFill="1" applyBorder="1" applyAlignment="1">
      <alignment horizontal="right" vertical="center" wrapText="1" indent="1"/>
    </xf>
    <xf numFmtId="4" fontId="18" fillId="0" borderId="57" xfId="0" applyNumberFormat="1" applyFont="1" applyFill="1" applyBorder="1" applyAlignment="1">
      <alignment horizontal="right" vertical="center" indent="1"/>
    </xf>
    <xf numFmtId="4" fontId="18" fillId="2" borderId="57" xfId="0" applyNumberFormat="1" applyFont="1" applyFill="1" applyBorder="1" applyAlignment="1">
      <alignment horizontal="right" vertical="center" wrapText="1" indent="1"/>
    </xf>
    <xf numFmtId="3" fontId="3" fillId="2" borderId="57" xfId="0" applyNumberFormat="1" applyFont="1" applyFill="1" applyBorder="1" applyAlignment="1">
      <alignment horizontal="right" vertical="center" indent="1"/>
    </xf>
    <xf numFmtId="4" fontId="3" fillId="2" borderId="57" xfId="0" applyNumberFormat="1" applyFont="1" applyFill="1" applyBorder="1" applyAlignment="1">
      <alignment horizontal="right" vertical="center" indent="1"/>
    </xf>
    <xf numFmtId="4" fontId="2" fillId="2" borderId="57" xfId="0" applyNumberFormat="1" applyFont="1" applyFill="1" applyBorder="1" applyAlignment="1">
      <alignment horizontal="right" vertical="center" indent="1"/>
    </xf>
    <xf numFmtId="0" fontId="12" fillId="2" borderId="5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left" vertical="center"/>
    </xf>
    <xf numFmtId="4" fontId="12" fillId="2" borderId="57" xfId="11" applyNumberFormat="1" applyFont="1" applyFill="1" applyBorder="1" applyAlignment="1">
      <alignment horizontal="left" vertical="center" wrapText="1"/>
    </xf>
    <xf numFmtId="4" fontId="12" fillId="2" borderId="57" xfId="0" applyNumberFormat="1" applyFont="1" applyFill="1" applyBorder="1" applyAlignment="1">
      <alignment horizontal="right" vertical="center" indent="1"/>
    </xf>
    <xf numFmtId="168" fontId="2" fillId="0" borderId="57" xfId="13" applyNumberFormat="1" applyFont="1" applyBorder="1" applyAlignment="1">
      <alignment horizontal="right" vertical="center" wrapText="1" indent="1"/>
    </xf>
    <xf numFmtId="171" fontId="2" fillId="0" borderId="57" xfId="13" applyNumberFormat="1" applyFont="1" applyBorder="1" applyAlignment="1">
      <alignment horizontal="right" vertical="center" wrapText="1" indent="1"/>
    </xf>
    <xf numFmtId="0" fontId="12" fillId="2" borderId="57" xfId="0" applyFont="1" applyFill="1" applyBorder="1" applyAlignment="1">
      <alignment horizontal="right" vertical="center" wrapText="1" indent="1"/>
    </xf>
    <xf numFmtId="0" fontId="12" fillId="0" borderId="57" xfId="0" applyFont="1" applyFill="1" applyBorder="1" applyAlignment="1">
      <alignment horizontal="left" vertical="center" wrapText="1" indent="1"/>
    </xf>
    <xf numFmtId="0" fontId="18" fillId="15" borderId="57" xfId="0" applyFont="1" applyFill="1" applyBorder="1" applyAlignment="1">
      <alignment horizontal="left" vertical="center"/>
    </xf>
    <xf numFmtId="0" fontId="18" fillId="2" borderId="57" xfId="0" applyFont="1" applyFill="1" applyBorder="1" applyAlignment="1">
      <alignment horizontal="left" vertical="center" wrapText="1"/>
    </xf>
    <xf numFmtId="0" fontId="18" fillId="2" borderId="57" xfId="0" applyNumberFormat="1" applyFont="1" applyFill="1" applyBorder="1" applyAlignment="1">
      <alignment horizontal="left" vertical="center" wrapText="1" indent="1"/>
    </xf>
    <xf numFmtId="0" fontId="17" fillId="15" borderId="57" xfId="0" applyNumberFormat="1" applyFont="1" applyFill="1" applyBorder="1" applyAlignment="1">
      <alignment horizontal="left" vertical="center" indent="1"/>
    </xf>
    <xf numFmtId="0" fontId="17" fillId="15" borderId="57" xfId="0" applyNumberFormat="1" applyFont="1" applyFill="1" applyBorder="1" applyAlignment="1">
      <alignment horizontal="right" wrapText="1" indent="1"/>
    </xf>
    <xf numFmtId="4" fontId="17" fillId="2" borderId="57" xfId="0" applyNumberFormat="1" applyFont="1" applyFill="1" applyBorder="1" applyAlignment="1">
      <alignment horizontal="right" vertical="center" wrapText="1" indent="1"/>
    </xf>
    <xf numFmtId="3" fontId="18" fillId="15" borderId="57" xfId="0" applyNumberFormat="1" applyFont="1" applyFill="1" applyBorder="1" applyAlignment="1">
      <alignment horizontal="right" vertical="center" indent="1"/>
    </xf>
    <xf numFmtId="4" fontId="18" fillId="15" borderId="57" xfId="0" applyNumberFormat="1" applyFont="1" applyFill="1" applyBorder="1" applyAlignment="1">
      <alignment horizontal="right" vertical="center" indent="1"/>
    </xf>
    <xf numFmtId="0" fontId="18" fillId="2" borderId="57" xfId="0" applyFont="1" applyFill="1" applyBorder="1" applyAlignment="1">
      <alignment horizontal="left" vertical="center"/>
    </xf>
    <xf numFmtId="0" fontId="18" fillId="15" borderId="57" xfId="0" applyFont="1" applyFill="1" applyBorder="1" applyAlignment="1">
      <alignment horizontal="left" vertical="center" wrapText="1"/>
    </xf>
    <xf numFmtId="0" fontId="17" fillId="2" borderId="57" xfId="0" applyNumberFormat="1" applyFont="1" applyFill="1" applyBorder="1" applyAlignment="1">
      <alignment horizontal="left" vertical="center" indent="1"/>
    </xf>
    <xf numFmtId="0" fontId="17" fillId="2" borderId="57" xfId="0" applyNumberFormat="1" applyFont="1" applyFill="1" applyBorder="1" applyAlignment="1">
      <alignment horizontal="right" wrapText="1" indent="1"/>
    </xf>
    <xf numFmtId="0" fontId="18" fillId="2" borderId="57" xfId="0" applyNumberFormat="1" applyFont="1" applyFill="1" applyBorder="1" applyAlignment="1">
      <alignment horizontal="right" wrapText="1" indent="1"/>
    </xf>
    <xf numFmtId="3" fontId="18" fillId="2" borderId="57" xfId="0" applyNumberFormat="1" applyFont="1" applyFill="1" applyBorder="1" applyAlignment="1">
      <alignment horizontal="right" vertical="center" wrapText="1" indent="1"/>
    </xf>
    <xf numFmtId="0" fontId="17" fillId="15" borderId="57" xfId="0" applyNumberFormat="1" applyFont="1" applyFill="1" applyBorder="1" applyAlignment="1">
      <alignment horizontal="right" vertical="center" wrapText="1" indent="1"/>
    </xf>
    <xf numFmtId="4" fontId="11" fillId="2" borderId="57" xfId="0" applyNumberFormat="1" applyFont="1" applyFill="1" applyBorder="1" applyAlignment="1">
      <alignment horizontal="right" vertical="center" indent="1"/>
    </xf>
    <xf numFmtId="0" fontId="18" fillId="15" borderId="57" xfId="0" applyFont="1" applyFill="1" applyBorder="1" applyAlignment="1">
      <alignment horizontal="left" wrapText="1"/>
    </xf>
    <xf numFmtId="0" fontId="18" fillId="15" borderId="57" xfId="0" applyNumberFormat="1" applyFont="1" applyFill="1" applyBorder="1" applyAlignment="1">
      <alignment horizontal="left" vertical="center" wrapText="1" indent="1"/>
    </xf>
    <xf numFmtId="4" fontId="18" fillId="2" borderId="57" xfId="11" applyNumberFormat="1" applyFont="1" applyFill="1" applyBorder="1" applyAlignment="1">
      <alignment horizontal="left" vertical="center" wrapText="1"/>
    </xf>
    <xf numFmtId="0" fontId="17" fillId="0" borderId="57" xfId="0" applyFont="1" applyFill="1" applyBorder="1" applyAlignment="1">
      <alignment horizontal="left" vertical="center" wrapText="1" indent="1"/>
    </xf>
    <xf numFmtId="0" fontId="17" fillId="2" borderId="57" xfId="0" applyFont="1" applyFill="1" applyBorder="1" applyAlignment="1">
      <alignment horizontal="right" vertical="center" indent="1"/>
    </xf>
    <xf numFmtId="9" fontId="17" fillId="2" borderId="57" xfId="0" applyNumberFormat="1" applyFont="1" applyFill="1" applyBorder="1" applyAlignment="1">
      <alignment horizontal="right" vertical="center" indent="1"/>
    </xf>
    <xf numFmtId="168" fontId="18" fillId="0" borderId="57" xfId="13" applyNumberFormat="1" applyFont="1" applyBorder="1" applyAlignment="1">
      <alignment horizontal="right" vertical="center" wrapText="1" indent="1"/>
    </xf>
    <xf numFmtId="171" fontId="18" fillId="0" borderId="57" xfId="13" applyNumberFormat="1" applyFont="1" applyBorder="1" applyAlignment="1">
      <alignment horizontal="right" vertical="center" wrapText="1" indent="1"/>
    </xf>
    <xf numFmtId="4" fontId="18" fillId="2" borderId="57" xfId="0" applyNumberFormat="1" applyFont="1" applyFill="1" applyBorder="1" applyAlignment="1">
      <alignment horizontal="right" vertical="center" indent="1"/>
    </xf>
    <xf numFmtId="2" fontId="19" fillId="2" borderId="57" xfId="0" applyNumberFormat="1" applyFont="1" applyFill="1" applyBorder="1" applyAlignment="1">
      <alignment horizontal="right" vertical="center" wrapText="1" indent="1"/>
    </xf>
    <xf numFmtId="170" fontId="54" fillId="2" borderId="31" xfId="12" applyNumberFormat="1" applyFont="1" applyFill="1" applyBorder="1" applyAlignment="1">
      <alignment horizontal="right" vertical="center" indent="1"/>
    </xf>
    <xf numFmtId="0" fontId="40" fillId="17" borderId="15" xfId="0" applyFont="1" applyFill="1" applyBorder="1" applyAlignment="1"/>
    <xf numFmtId="0" fontId="54" fillId="2" borderId="31" xfId="12" applyFont="1" applyFill="1" applyBorder="1" applyAlignment="1">
      <alignment horizontal="left" vertical="center" wrapText="1" indent="1"/>
    </xf>
    <xf numFmtId="4" fontId="54" fillId="2" borderId="31" xfId="12" applyNumberFormat="1" applyFont="1" applyFill="1" applyBorder="1" applyAlignment="1">
      <alignment horizontal="right" vertical="center" indent="1"/>
    </xf>
    <xf numFmtId="4" fontId="54" fillId="2" borderId="31" xfId="11" applyNumberFormat="1" applyFont="1" applyFill="1" applyBorder="1" applyAlignment="1">
      <alignment horizontal="right" vertical="center" indent="1"/>
    </xf>
    <xf numFmtId="0" fontId="52" fillId="6" borderId="62" xfId="1" applyFont="1" applyFill="1" applyBorder="1" applyAlignment="1">
      <alignment horizontal="center" vertical="center"/>
    </xf>
    <xf numFmtId="4" fontId="57" fillId="6" borderId="62" xfId="11" applyNumberFormat="1" applyFont="1" applyFill="1" applyBorder="1" applyAlignment="1">
      <alignment horizontal="right" vertical="center" indent="1"/>
    </xf>
    <xf numFmtId="0" fontId="65" fillId="0" borderId="0" xfId="0" applyFont="1" applyBorder="1"/>
    <xf numFmtId="170" fontId="0" fillId="0" borderId="0" xfId="0" applyNumberFormat="1" applyAlignment="1">
      <alignment horizontal="center"/>
    </xf>
    <xf numFmtId="4" fontId="0" fillId="0" borderId="0" xfId="0" applyNumberFormat="1"/>
    <xf numFmtId="0" fontId="4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4" fillId="2" borderId="32" xfId="5" applyFont="1" applyFill="1" applyBorder="1" applyAlignment="1">
      <alignment horizontal="left" vertical="center"/>
    </xf>
    <xf numFmtId="0" fontId="4" fillId="2" borderId="32" xfId="5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 indent="1"/>
    </xf>
    <xf numFmtId="0" fontId="12" fillId="0" borderId="11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left" vertical="center" wrapText="1" indent="1"/>
    </xf>
    <xf numFmtId="0" fontId="18" fillId="0" borderId="24" xfId="0" applyFont="1" applyFill="1" applyBorder="1" applyAlignment="1">
      <alignment horizontal="right" vertical="center" indent="1"/>
    </xf>
    <xf numFmtId="0" fontId="18" fillId="2" borderId="35" xfId="0" applyFont="1" applyFill="1" applyBorder="1" applyAlignment="1">
      <alignment horizontal="right" vertical="center" wrapText="1" indent="1"/>
    </xf>
    <xf numFmtId="2" fontId="18" fillId="9" borderId="32" xfId="0" applyNumberFormat="1" applyFont="1" applyFill="1" applyBorder="1" applyAlignment="1">
      <alignment horizontal="right" vertical="center" wrapText="1" indent="1"/>
    </xf>
    <xf numFmtId="2" fontId="12" fillId="2" borderId="32" xfId="5" applyNumberFormat="1" applyFont="1" applyFill="1" applyBorder="1" applyAlignment="1">
      <alignment horizontal="right" vertical="center" wrapText="1" indent="1"/>
    </xf>
    <xf numFmtId="2" fontId="4" fillId="5" borderId="32" xfId="0" applyNumberFormat="1" applyFont="1" applyFill="1" applyBorder="1" applyAlignment="1">
      <alignment horizontal="right" vertical="center" wrapText="1" indent="1"/>
    </xf>
    <xf numFmtId="2" fontId="4" fillId="10" borderId="32" xfId="0" applyNumberFormat="1" applyFont="1" applyFill="1" applyBorder="1" applyAlignment="1">
      <alignment horizontal="right" vertical="center" wrapText="1" indent="1"/>
    </xf>
    <xf numFmtId="2" fontId="12" fillId="10" borderId="32" xfId="0" applyNumberFormat="1" applyFont="1" applyFill="1" applyBorder="1" applyAlignment="1">
      <alignment horizontal="right" vertical="center" wrapText="1" indent="1"/>
    </xf>
    <xf numFmtId="2" fontId="4" fillId="2" borderId="32" xfId="0" applyNumberFormat="1" applyFont="1" applyFill="1" applyBorder="1" applyAlignment="1">
      <alignment horizontal="right" vertical="center" indent="1"/>
    </xf>
    <xf numFmtId="2" fontId="12" fillId="5" borderId="32" xfId="0" applyNumberFormat="1" applyFont="1" applyFill="1" applyBorder="1" applyAlignment="1">
      <alignment horizontal="right" vertical="center" wrapText="1" indent="1"/>
    </xf>
    <xf numFmtId="2" fontId="4" fillId="2" borderId="32" xfId="5" applyNumberFormat="1" applyFont="1" applyFill="1" applyBorder="1" applyAlignment="1">
      <alignment horizontal="right" vertical="center" wrapText="1" indent="1"/>
    </xf>
    <xf numFmtId="2" fontId="4" fillId="2" borderId="32" xfId="5" applyNumberFormat="1" applyFont="1" applyFill="1" applyBorder="1" applyAlignment="1">
      <alignment horizontal="right" vertical="center" indent="1"/>
    </xf>
    <xf numFmtId="0" fontId="0" fillId="0" borderId="32" xfId="0" applyBorder="1" applyAlignment="1">
      <alignment horizontal="right" vertical="center" indent="1"/>
    </xf>
    <xf numFmtId="0" fontId="0" fillId="0" borderId="36" xfId="0" applyBorder="1" applyAlignment="1">
      <alignment horizontal="right" vertical="center" indent="1"/>
    </xf>
    <xf numFmtId="2" fontId="2" fillId="0" borderId="32" xfId="0" applyNumberFormat="1" applyFont="1" applyFill="1" applyBorder="1" applyAlignment="1">
      <alignment horizontal="right" vertical="center" indent="1"/>
    </xf>
    <xf numFmtId="2" fontId="17" fillId="0" borderId="32" xfId="0" applyNumberFormat="1" applyFont="1" applyFill="1" applyBorder="1" applyAlignment="1">
      <alignment horizontal="right" vertical="center" indent="1"/>
    </xf>
    <xf numFmtId="2" fontId="2" fillId="0" borderId="32" xfId="9" applyNumberFormat="1" applyFont="1" applyFill="1" applyBorder="1" applyAlignment="1">
      <alignment horizontal="right" vertical="center" wrapText="1" indent="1"/>
    </xf>
    <xf numFmtId="2" fontId="17" fillId="0" borderId="32" xfId="9" applyNumberFormat="1" applyFont="1" applyFill="1" applyBorder="1" applyAlignment="1">
      <alignment horizontal="right" vertical="center" wrapText="1" indent="1"/>
    </xf>
    <xf numFmtId="2" fontId="17" fillId="0" borderId="32" xfId="0" applyNumberFormat="1" applyFont="1" applyBorder="1" applyAlignment="1">
      <alignment horizontal="right" vertical="center" indent="1"/>
    </xf>
    <xf numFmtId="2" fontId="12" fillId="0" borderId="32" xfId="0" applyNumberFormat="1" applyFont="1" applyBorder="1" applyAlignment="1">
      <alignment horizontal="right" vertical="center" indent="1"/>
    </xf>
    <xf numFmtId="2" fontId="12" fillId="0" borderId="32" xfId="0" applyNumberFormat="1" applyFont="1" applyFill="1" applyBorder="1" applyAlignment="1">
      <alignment horizontal="right" vertical="center" indent="1"/>
    </xf>
    <xf numFmtId="2" fontId="18" fillId="0" borderId="32" xfId="0" applyNumberFormat="1" applyFont="1" applyBorder="1" applyAlignment="1">
      <alignment horizontal="right" vertical="center" indent="1"/>
    </xf>
    <xf numFmtId="2" fontId="18" fillId="0" borderId="32" xfId="0" applyNumberFormat="1" applyFont="1" applyFill="1" applyBorder="1" applyAlignment="1">
      <alignment horizontal="right" vertical="center" indent="1"/>
    </xf>
    <xf numFmtId="2" fontId="3" fillId="0" borderId="32" xfId="0" applyNumberFormat="1" applyFont="1" applyBorder="1" applyAlignment="1">
      <alignment horizontal="right" vertical="center" indent="1"/>
    </xf>
    <xf numFmtId="2" fontId="18" fillId="2" borderId="32" xfId="0" applyNumberFormat="1" applyFont="1" applyFill="1" applyBorder="1" applyAlignment="1">
      <alignment horizontal="right" vertical="center" wrapText="1" indent="1"/>
    </xf>
    <xf numFmtId="169" fontId="4" fillId="2" borderId="32" xfId="0" applyNumberFormat="1" applyFont="1" applyFill="1" applyBorder="1" applyAlignment="1">
      <alignment horizontal="right" vertical="center" wrapText="1" indent="1"/>
    </xf>
    <xf numFmtId="0" fontId="4" fillId="2" borderId="32" xfId="0" applyFont="1" applyFill="1" applyBorder="1" applyAlignment="1">
      <alignment horizontal="right" vertical="center" wrapText="1" indent="1"/>
    </xf>
    <xf numFmtId="0" fontId="3" fillId="2" borderId="32" xfId="0" applyFont="1" applyFill="1" applyBorder="1" applyAlignment="1">
      <alignment horizontal="right" wrapText="1" indent="1"/>
    </xf>
    <xf numFmtId="0" fontId="12" fillId="2" borderId="32" xfId="0" applyFont="1" applyFill="1" applyBorder="1" applyAlignment="1">
      <alignment horizontal="right" vertical="center" wrapText="1" indent="1"/>
    </xf>
    <xf numFmtId="4" fontId="3" fillId="2" borderId="32" xfId="11" applyNumberFormat="1" applyFont="1" applyFill="1" applyBorder="1" applyAlignment="1">
      <alignment horizontal="right" wrapText="1" indent="1"/>
    </xf>
    <xf numFmtId="4" fontId="2" fillId="2" borderId="32" xfId="11" applyNumberFormat="1" applyFont="1" applyFill="1" applyBorder="1" applyAlignment="1">
      <alignment horizontal="right" wrapText="1" indent="1"/>
    </xf>
    <xf numFmtId="2" fontId="0" fillId="0" borderId="32" xfId="0" applyNumberFormat="1" applyBorder="1" applyAlignment="1">
      <alignment horizontal="right" vertical="center" indent="1"/>
    </xf>
    <xf numFmtId="2" fontId="0" fillId="0" borderId="36" xfId="0" applyNumberFormat="1" applyBorder="1" applyAlignment="1">
      <alignment horizontal="right" vertical="center" indent="1"/>
    </xf>
    <xf numFmtId="1" fontId="4" fillId="2" borderId="32" xfId="5" applyNumberFormat="1" applyFont="1" applyFill="1" applyBorder="1" applyAlignment="1">
      <alignment horizontal="left" vertical="center"/>
    </xf>
    <xf numFmtId="3" fontId="4" fillId="2" borderId="32" xfId="5" applyNumberFormat="1" applyFont="1" applyFill="1" applyBorder="1" applyAlignment="1">
      <alignment horizontal="right" vertical="center" wrapText="1" indent="1"/>
    </xf>
    <xf numFmtId="3" fontId="3" fillId="0" borderId="32" xfId="0" applyNumberFormat="1" applyFont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wrapText="1" indent="1"/>
    </xf>
    <xf numFmtId="3" fontId="4" fillId="0" borderId="32" xfId="0" applyNumberFormat="1" applyFont="1" applyFill="1" applyBorder="1" applyAlignment="1">
      <alignment horizontal="right" vertical="center" indent="1"/>
    </xf>
    <xf numFmtId="3" fontId="4" fillId="0" borderId="32" xfId="0" applyNumberFormat="1" applyFont="1" applyBorder="1" applyAlignment="1">
      <alignment horizontal="right" vertical="center" indent="1"/>
    </xf>
    <xf numFmtId="3" fontId="3" fillId="0" borderId="32" xfId="9" applyNumberFormat="1" applyFont="1" applyBorder="1" applyAlignment="1">
      <alignment horizontal="right" vertical="center" indent="1"/>
    </xf>
    <xf numFmtId="3" fontId="3" fillId="2" borderId="32" xfId="0" applyNumberFormat="1" applyFont="1" applyFill="1" applyBorder="1" applyAlignment="1">
      <alignment horizontal="right" vertical="center" wrapText="1" indent="1"/>
    </xf>
    <xf numFmtId="0" fontId="4" fillId="2" borderId="57" xfId="0" applyFont="1" applyFill="1" applyBorder="1" applyAlignment="1">
      <alignment horizontal="left" vertical="center"/>
    </xf>
    <xf numFmtId="0" fontId="2" fillId="2" borderId="57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top" wrapText="1" indent="1"/>
    </xf>
    <xf numFmtId="0" fontId="3" fillId="2" borderId="32" xfId="0" applyFont="1" applyFill="1" applyBorder="1" applyAlignment="1">
      <alignment horizontal="right" vertical="center" wrapText="1"/>
    </xf>
    <xf numFmtId="0" fontId="2" fillId="0" borderId="57" xfId="0" applyFont="1" applyBorder="1" applyAlignment="1">
      <alignment horizontal="left" indent="1"/>
    </xf>
    <xf numFmtId="0" fontId="2" fillId="0" borderId="57" xfId="0" applyFont="1" applyBorder="1" applyAlignment="1">
      <alignment horizontal="right" indent="1"/>
    </xf>
    <xf numFmtId="4" fontId="2" fillId="0" borderId="57" xfId="0" applyNumberFormat="1" applyFont="1" applyBorder="1" applyAlignment="1">
      <alignment horizontal="right" indent="1"/>
    </xf>
    <xf numFmtId="0" fontId="3" fillId="2" borderId="32" xfId="0" applyFont="1" applyFill="1" applyBorder="1" applyAlignment="1">
      <alignment horizontal="right" vertical="center" wrapText="1" indent="1"/>
    </xf>
    <xf numFmtId="3" fontId="4" fillId="2" borderId="32" xfId="0" applyNumberFormat="1" applyFont="1" applyFill="1" applyBorder="1" applyAlignment="1">
      <alignment horizontal="left" vertical="center" wrapText="1" indent="1"/>
    </xf>
    <xf numFmtId="4" fontId="4" fillId="2" borderId="32" xfId="11" applyNumberFormat="1" applyFont="1" applyFill="1" applyBorder="1" applyAlignment="1">
      <alignment horizontal="left" vertical="center" wrapText="1" indent="1"/>
    </xf>
    <xf numFmtId="0" fontId="25" fillId="0" borderId="32" xfId="0" applyFont="1" applyBorder="1" applyAlignment="1">
      <alignment horizontal="right" vertical="center" indent="1"/>
    </xf>
    <xf numFmtId="173" fontId="30" fillId="0" borderId="32" xfId="0" applyNumberFormat="1" applyFont="1" applyBorder="1" applyAlignment="1">
      <alignment horizontal="right" vertical="center" indent="1"/>
    </xf>
    <xf numFmtId="0" fontId="25" fillId="0" borderId="32" xfId="0" applyFont="1" applyBorder="1" applyAlignment="1">
      <alignment horizontal="left" vertical="center" wrapText="1" indent="1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 indent="1"/>
    </xf>
    <xf numFmtId="0" fontId="2" fillId="0" borderId="66" xfId="0" applyFont="1" applyFill="1" applyBorder="1" applyAlignment="1">
      <alignment vertical="center"/>
    </xf>
    <xf numFmtId="0" fontId="2" fillId="2" borderId="66" xfId="0" applyFont="1" applyFill="1" applyBorder="1"/>
    <xf numFmtId="0" fontId="2" fillId="0" borderId="67" xfId="0" applyFont="1" applyBorder="1"/>
    <xf numFmtId="0" fontId="4" fillId="7" borderId="68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right" vertical="center" wrapText="1" indent="1"/>
    </xf>
    <xf numFmtId="0" fontId="2" fillId="0" borderId="69" xfId="0" applyFont="1" applyBorder="1" applyAlignment="1">
      <alignment horizontal="left"/>
    </xf>
    <xf numFmtId="3" fontId="23" fillId="2" borderId="68" xfId="0" applyNumberFormat="1" applyFont="1" applyFill="1" applyBorder="1" applyAlignment="1">
      <alignment horizontal="right" vertical="center" wrapText="1" indent="1"/>
    </xf>
    <xf numFmtId="4" fontId="23" fillId="2" borderId="68" xfId="0" applyNumberFormat="1" applyFont="1" applyFill="1" applyBorder="1" applyAlignment="1">
      <alignment horizontal="right" vertical="center" wrapText="1" indent="1"/>
    </xf>
    <xf numFmtId="4" fontId="23" fillId="0" borderId="68" xfId="11" applyNumberFormat="1" applyFont="1" applyFill="1" applyBorder="1" applyAlignment="1">
      <alignment horizontal="right" vertical="center" indent="1"/>
    </xf>
    <xf numFmtId="0" fontId="18" fillId="2" borderId="68" xfId="0" applyFont="1" applyFill="1" applyBorder="1" applyAlignment="1">
      <alignment horizontal="left" vertical="center"/>
    </xf>
    <xf numFmtId="0" fontId="8" fillId="2" borderId="68" xfId="0" applyFont="1" applyFill="1" applyBorder="1" applyAlignment="1">
      <alignment vertical="center"/>
    </xf>
    <xf numFmtId="0" fontId="27" fillId="2" borderId="68" xfId="0" applyFont="1" applyFill="1" applyBorder="1" applyAlignment="1">
      <alignment vertical="center"/>
    </xf>
    <xf numFmtId="0" fontId="27" fillId="2" borderId="68" xfId="0" applyFont="1" applyFill="1" applyBorder="1" applyAlignment="1">
      <alignment horizontal="left" vertical="center" indent="1"/>
    </xf>
    <xf numFmtId="3" fontId="8" fillId="2" borderId="68" xfId="0" applyNumberFormat="1" applyFont="1" applyFill="1" applyBorder="1" applyAlignment="1">
      <alignment horizontal="right" vertical="center" indent="1"/>
    </xf>
    <xf numFmtId="0" fontId="27" fillId="2" borderId="68" xfId="0" applyFont="1" applyFill="1" applyBorder="1"/>
    <xf numFmtId="171" fontId="8" fillId="2" borderId="68" xfId="0" applyNumberFormat="1" applyFont="1" applyFill="1" applyBorder="1" applyAlignment="1">
      <alignment horizontal="right" vertical="center" indent="1"/>
    </xf>
    <xf numFmtId="4" fontId="8" fillId="2" borderId="68" xfId="0" applyNumberFormat="1" applyFont="1" applyFill="1" applyBorder="1" applyAlignment="1">
      <alignment horizontal="right" vertical="center" wrapText="1" indent="1"/>
    </xf>
    <xf numFmtId="0" fontId="12" fillId="2" borderId="68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left" vertical="center" indent="1"/>
    </xf>
    <xf numFmtId="0" fontId="12" fillId="2" borderId="68" xfId="0" applyFont="1" applyFill="1" applyBorder="1" applyAlignment="1">
      <alignment horizontal="left" vertical="center" wrapText="1" indent="1"/>
    </xf>
    <xf numFmtId="3" fontId="12" fillId="2" borderId="68" xfId="0" applyNumberFormat="1" applyFont="1" applyFill="1" applyBorder="1" applyAlignment="1">
      <alignment horizontal="right" vertical="center" wrapText="1" indent="1"/>
    </xf>
    <xf numFmtId="4" fontId="12" fillId="2" borderId="68" xfId="0" applyNumberFormat="1" applyFont="1" applyFill="1" applyBorder="1" applyAlignment="1">
      <alignment horizontal="right" vertical="center" wrapText="1" indent="1"/>
    </xf>
    <xf numFmtId="3" fontId="2" fillId="2" borderId="68" xfId="0" applyNumberFormat="1" applyFont="1" applyFill="1" applyBorder="1" applyAlignment="1">
      <alignment horizontal="right" vertical="center" indent="1"/>
    </xf>
    <xf numFmtId="43" fontId="2" fillId="2" borderId="68" xfId="9" applyFont="1" applyFill="1" applyBorder="1" applyAlignment="1">
      <alignment horizontal="right" vertical="center" wrapText="1" indent="1"/>
    </xf>
    <xf numFmtId="0" fontId="3" fillId="0" borderId="15" xfId="0" applyFont="1" applyBorder="1" applyAlignment="1">
      <alignment horizontal="left" vertical="center"/>
    </xf>
    <xf numFmtId="0" fontId="8" fillId="2" borderId="68" xfId="0" applyFont="1" applyFill="1" applyBorder="1" applyAlignment="1">
      <alignment vertical="center" wrapText="1"/>
    </xf>
    <xf numFmtId="0" fontId="2" fillId="0" borderId="68" xfId="0" applyFont="1" applyBorder="1"/>
    <xf numFmtId="0" fontId="2" fillId="0" borderId="68" xfId="0" applyFont="1" applyBorder="1" applyAlignment="1">
      <alignment horizontal="right" indent="1"/>
    </xf>
    <xf numFmtId="3" fontId="8" fillId="0" borderId="68" xfId="0" applyNumberFormat="1" applyFont="1" applyBorder="1" applyAlignment="1">
      <alignment horizontal="right" vertical="center" indent="1"/>
    </xf>
    <xf numFmtId="4" fontId="8" fillId="0" borderId="68" xfId="0" applyNumberFormat="1" applyFont="1" applyBorder="1" applyAlignment="1">
      <alignment horizontal="right" vertical="center" indent="1"/>
    </xf>
    <xf numFmtId="1" fontId="3" fillId="2" borderId="68" xfId="0" applyNumberFormat="1" applyFont="1" applyFill="1" applyBorder="1" applyAlignment="1">
      <alignment horizontal="left" vertical="center" wrapText="1"/>
    </xf>
    <xf numFmtId="0" fontId="2" fillId="2" borderId="68" xfId="0" applyFont="1" applyFill="1" applyBorder="1" applyAlignment="1">
      <alignment horizontal="justify" vertical="center" wrapText="1"/>
    </xf>
    <xf numFmtId="3" fontId="2" fillId="2" borderId="68" xfId="0" applyNumberFormat="1" applyFont="1" applyFill="1" applyBorder="1" applyAlignment="1">
      <alignment horizontal="left" vertical="center" wrapText="1" indent="1"/>
    </xf>
    <xf numFmtId="3" fontId="2" fillId="2" borderId="68" xfId="0" applyNumberFormat="1" applyFont="1" applyFill="1" applyBorder="1" applyAlignment="1">
      <alignment horizontal="right" vertical="center" wrapText="1" indent="1"/>
    </xf>
    <xf numFmtId="4" fontId="2" fillId="2" borderId="68" xfId="0" applyNumberFormat="1" applyFont="1" applyFill="1" applyBorder="1" applyAlignment="1">
      <alignment horizontal="right" vertical="center" wrapText="1" indent="1"/>
    </xf>
    <xf numFmtId="4" fontId="2" fillId="2" borderId="68" xfId="11" applyNumberFormat="1" applyFont="1" applyFill="1" applyBorder="1" applyAlignment="1">
      <alignment horizontal="right" vertical="center" indent="1"/>
    </xf>
    <xf numFmtId="0" fontId="3" fillId="2" borderId="68" xfId="0" applyFont="1" applyFill="1" applyBorder="1" applyAlignment="1">
      <alignment horizontal="left" vertical="center"/>
    </xf>
    <xf numFmtId="4" fontId="2" fillId="2" borderId="68" xfId="0" applyNumberFormat="1" applyFont="1" applyFill="1" applyBorder="1" applyAlignment="1">
      <alignment horizontal="right" vertical="center" indent="1"/>
    </xf>
    <xf numFmtId="0" fontId="2" fillId="2" borderId="68" xfId="0" applyFont="1" applyFill="1" applyBorder="1" applyAlignment="1">
      <alignment horizontal="right" vertical="center" indent="1"/>
    </xf>
    <xf numFmtId="0" fontId="2" fillId="0" borderId="68" xfId="0" applyFont="1" applyBorder="1" applyAlignment="1">
      <alignment horizontal="left" vertical="center" indent="1"/>
    </xf>
    <xf numFmtId="0" fontId="2" fillId="0" borderId="68" xfId="0" applyFont="1" applyFill="1" applyBorder="1" applyAlignment="1">
      <alignment horizontal="left" vertical="center" wrapText="1" indent="1"/>
    </xf>
    <xf numFmtId="4" fontId="2" fillId="0" borderId="68" xfId="0" applyNumberFormat="1" applyFont="1" applyBorder="1" applyAlignment="1">
      <alignment horizontal="right" vertical="center" indent="1"/>
    </xf>
    <xf numFmtId="0" fontId="8" fillId="0" borderId="68" xfId="0" applyFont="1" applyBorder="1" applyAlignment="1">
      <alignment vertical="center"/>
    </xf>
    <xf numFmtId="0" fontId="2" fillId="2" borderId="68" xfId="0" applyFont="1" applyFill="1" applyBorder="1" applyAlignment="1">
      <alignment horizontal="left" vertical="center" wrapText="1" indent="1"/>
    </xf>
    <xf numFmtId="3" fontId="12" fillId="2" borderId="68" xfId="0" applyNumberFormat="1" applyFont="1" applyFill="1" applyBorder="1" applyAlignment="1">
      <alignment horizontal="right" vertical="center" indent="1"/>
    </xf>
    <xf numFmtId="4" fontId="12" fillId="2" borderId="68" xfId="0" applyNumberFormat="1" applyFont="1" applyFill="1" applyBorder="1" applyAlignment="1">
      <alignment horizontal="right" vertical="center" indent="1"/>
    </xf>
    <xf numFmtId="0" fontId="2" fillId="0" borderId="68" xfId="0" applyFont="1" applyBorder="1" applyAlignment="1">
      <alignment vertical="center"/>
    </xf>
    <xf numFmtId="0" fontId="2" fillId="0" borderId="68" xfId="0" applyFont="1" applyBorder="1" applyAlignment="1">
      <alignment horizontal="left" vertical="center"/>
    </xf>
    <xf numFmtId="0" fontId="2" fillId="0" borderId="68" xfId="0" applyFont="1" applyBorder="1" applyAlignment="1">
      <alignment horizontal="right" vertical="center" indent="1"/>
    </xf>
    <xf numFmtId="4" fontId="8" fillId="2" borderId="68" xfId="0" applyNumberFormat="1" applyFont="1" applyFill="1" applyBorder="1" applyAlignment="1">
      <alignment horizontal="right" vertical="center" indent="1"/>
    </xf>
    <xf numFmtId="0" fontId="18" fillId="2" borderId="68" xfId="0" applyFont="1" applyFill="1" applyBorder="1" applyAlignment="1">
      <alignment vertical="center"/>
    </xf>
    <xf numFmtId="0" fontId="17" fillId="2" borderId="68" xfId="0" applyFont="1" applyFill="1" applyBorder="1" applyAlignment="1">
      <alignment horizontal="left" vertical="center"/>
    </xf>
    <xf numFmtId="0" fontId="17" fillId="2" borderId="68" xfId="0" applyFont="1" applyFill="1" applyBorder="1" applyAlignment="1">
      <alignment horizontal="right" vertical="center" indent="1"/>
    </xf>
    <xf numFmtId="3" fontId="18" fillId="2" borderId="68" xfId="0" applyNumberFormat="1" applyFont="1" applyFill="1" applyBorder="1" applyAlignment="1">
      <alignment horizontal="right" vertical="center" indent="1"/>
    </xf>
    <xf numFmtId="4" fontId="18" fillId="2" borderId="68" xfId="0" applyNumberFormat="1" applyFont="1" applyFill="1" applyBorder="1" applyAlignment="1">
      <alignment horizontal="right" vertical="center" indent="1"/>
    </xf>
    <xf numFmtId="0" fontId="12" fillId="2" borderId="68" xfId="0" applyFont="1" applyFill="1" applyBorder="1" applyAlignment="1">
      <alignment horizontal="right" vertical="center"/>
    </xf>
    <xf numFmtId="0" fontId="2" fillId="2" borderId="68" xfId="0" applyFont="1" applyFill="1" applyBorder="1" applyAlignment="1">
      <alignment vertical="center"/>
    </xf>
    <xf numFmtId="4" fontId="12" fillId="2" borderId="68" xfId="0" applyNumberFormat="1" applyFont="1" applyFill="1" applyBorder="1" applyAlignment="1" applyProtection="1">
      <alignment horizontal="right" vertical="center" wrapText="1" indent="1"/>
      <protection locked="0"/>
    </xf>
    <xf numFmtId="165" fontId="12" fillId="2" borderId="68" xfId="0" applyNumberFormat="1" applyFont="1" applyFill="1" applyBorder="1" applyAlignment="1">
      <alignment horizontal="right" vertical="center"/>
    </xf>
    <xf numFmtId="0" fontId="12" fillId="2" borderId="68" xfId="0" applyFont="1" applyFill="1" applyBorder="1" applyAlignment="1" applyProtection="1">
      <alignment horizontal="left" vertical="center" wrapText="1" indent="1"/>
      <protection locked="0"/>
    </xf>
    <xf numFmtId="3" fontId="12" fillId="2" borderId="68" xfId="0" applyNumberFormat="1" applyFont="1" applyFill="1" applyBorder="1" applyAlignment="1" applyProtection="1">
      <alignment horizontal="left" vertical="center" wrapText="1" indent="1"/>
      <protection locked="0"/>
    </xf>
    <xf numFmtId="2" fontId="12" fillId="2" borderId="68" xfId="0" applyNumberFormat="1" applyFont="1" applyFill="1" applyBorder="1" applyAlignment="1">
      <alignment horizontal="right" vertical="center"/>
    </xf>
    <xf numFmtId="0" fontId="12" fillId="2" borderId="71" xfId="2" applyFont="1" applyFill="1" applyBorder="1" applyAlignment="1">
      <alignment vertical="center"/>
    </xf>
    <xf numFmtId="0" fontId="12" fillId="2" borderId="71" xfId="2" applyFont="1" applyFill="1" applyBorder="1" applyAlignment="1">
      <alignment horizontal="left" vertical="center"/>
    </xf>
    <xf numFmtId="0" fontId="12" fillId="2" borderId="71" xfId="2" applyFont="1" applyFill="1" applyBorder="1" applyAlignment="1">
      <alignment horizontal="left" vertical="center" wrapText="1"/>
    </xf>
    <xf numFmtId="3" fontId="2" fillId="2" borderId="68" xfId="2" applyNumberFormat="1" applyFont="1" applyFill="1" applyBorder="1" applyAlignment="1">
      <alignment horizontal="right" vertical="center" indent="1"/>
    </xf>
    <xf numFmtId="0" fontId="12" fillId="2" borderId="68" xfId="0" applyFont="1" applyFill="1" applyBorder="1" applyAlignment="1">
      <alignment vertical="center"/>
    </xf>
    <xf numFmtId="0" fontId="12" fillId="2" borderId="68" xfId="0" applyFont="1" applyFill="1" applyBorder="1" applyAlignment="1">
      <alignment vertical="center" wrapText="1"/>
    </xf>
    <xf numFmtId="0" fontId="12" fillId="2" borderId="71" xfId="5" applyFont="1" applyFill="1" applyBorder="1" applyAlignment="1">
      <alignment horizontal="left" vertical="center"/>
    </xf>
    <xf numFmtId="0" fontId="17" fillId="2" borderId="68" xfId="0" applyFont="1" applyFill="1" applyBorder="1" applyAlignment="1" applyProtection="1">
      <alignment horizontal="left" vertical="center" wrapText="1" indent="1"/>
      <protection locked="0"/>
    </xf>
    <xf numFmtId="3" fontId="17" fillId="2" borderId="68" xfId="0" applyNumberFormat="1" applyFont="1" applyFill="1" applyBorder="1" applyAlignment="1" applyProtection="1">
      <alignment horizontal="left" vertical="center" wrapText="1" indent="1"/>
      <protection locked="0"/>
    </xf>
    <xf numFmtId="4" fontId="17" fillId="2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2" borderId="68" xfId="0" applyFont="1" applyFill="1" applyBorder="1" applyAlignment="1">
      <alignment horizontal="left" vertical="center" indent="1"/>
    </xf>
    <xf numFmtId="4" fontId="17" fillId="2" borderId="68" xfId="0" applyNumberFormat="1" applyFont="1" applyFill="1" applyBorder="1" applyAlignment="1">
      <alignment horizontal="right" vertical="center" indent="1"/>
    </xf>
    <xf numFmtId="0" fontId="2" fillId="2" borderId="68" xfId="0" applyFont="1" applyFill="1" applyBorder="1" applyAlignment="1">
      <alignment horizontal="right" vertical="center"/>
    </xf>
    <xf numFmtId="0" fontId="2" fillId="2" borderId="68" xfId="0" applyFont="1" applyFill="1" applyBorder="1" applyAlignment="1" applyProtection="1">
      <alignment horizontal="left" vertical="center" wrapText="1" indent="1"/>
      <protection locked="0"/>
    </xf>
    <xf numFmtId="3" fontId="2" fillId="2" borderId="68" xfId="0" applyNumberFormat="1" applyFont="1" applyFill="1" applyBorder="1" applyAlignment="1" applyProtection="1">
      <alignment horizontal="left" vertical="center" wrapText="1" indent="1"/>
      <protection locked="0"/>
    </xf>
    <xf numFmtId="4" fontId="2" fillId="2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8" fillId="2" borderId="68" xfId="0" applyFont="1" applyFill="1" applyBorder="1" applyAlignment="1">
      <alignment horizontal="left" vertical="center" indent="1"/>
    </xf>
    <xf numFmtId="0" fontId="12" fillId="2" borderId="68" xfId="2" applyFont="1" applyFill="1" applyBorder="1" applyAlignment="1">
      <alignment horizontal="left" vertical="center"/>
    </xf>
    <xf numFmtId="0" fontId="12" fillId="2" borderId="68" xfId="2" applyFont="1" applyFill="1" applyBorder="1" applyAlignment="1">
      <alignment vertical="center"/>
    </xf>
    <xf numFmtId="3" fontId="2" fillId="2" borderId="67" xfId="2" applyNumberFormat="1" applyFont="1" applyFill="1" applyBorder="1" applyAlignment="1">
      <alignment horizontal="right" vertical="center" indent="1"/>
    </xf>
    <xf numFmtId="0" fontId="17" fillId="2" borderId="68" xfId="0" applyFont="1" applyFill="1" applyBorder="1" applyAlignment="1">
      <alignment horizontal="left" vertical="center" wrapText="1" indent="1"/>
    </xf>
    <xf numFmtId="3" fontId="12" fillId="2" borderId="68" xfId="0" applyNumberFormat="1" applyFont="1" applyFill="1" applyBorder="1" applyAlignment="1" applyProtection="1">
      <alignment horizontal="right" vertical="center" wrapText="1" indent="1"/>
      <protection locked="0"/>
    </xf>
    <xf numFmtId="3" fontId="12" fillId="2" borderId="68" xfId="0" applyNumberFormat="1" applyFont="1" applyFill="1" applyBorder="1" applyAlignment="1" applyProtection="1">
      <alignment horizontal="left" vertical="center" indent="1"/>
      <protection locked="0"/>
    </xf>
    <xf numFmtId="0" fontId="18" fillId="2" borderId="68" xfId="0" applyFont="1" applyFill="1" applyBorder="1" applyAlignment="1" applyProtection="1">
      <alignment horizontal="left" vertical="center" wrapText="1" indent="1"/>
      <protection locked="0"/>
    </xf>
    <xf numFmtId="3" fontId="18" fillId="2" borderId="68" xfId="0" applyNumberFormat="1" applyFont="1" applyFill="1" applyBorder="1" applyAlignment="1" applyProtection="1">
      <alignment horizontal="left" vertical="center" indent="1"/>
      <protection locked="0"/>
    </xf>
    <xf numFmtId="4" fontId="18" fillId="2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68" xfId="0" applyFont="1" applyFill="1" applyBorder="1" applyAlignment="1">
      <alignment horizontal="right" vertical="center"/>
    </xf>
    <xf numFmtId="0" fontId="12" fillId="0" borderId="68" xfId="0" applyFont="1" applyFill="1" applyBorder="1" applyAlignment="1">
      <alignment vertical="center"/>
    </xf>
    <xf numFmtId="0" fontId="12" fillId="0" borderId="68" xfId="0" applyFont="1" applyFill="1" applyBorder="1" applyAlignment="1" applyProtection="1">
      <alignment horizontal="left" vertical="center" wrapText="1" indent="1"/>
      <protection locked="0"/>
    </xf>
    <xf numFmtId="3" fontId="12" fillId="0" borderId="68" xfId="0" applyNumberFormat="1" applyFont="1" applyFill="1" applyBorder="1" applyAlignment="1" applyProtection="1">
      <alignment horizontal="left" vertical="center" indent="1"/>
      <protection locked="0"/>
    </xf>
    <xf numFmtId="3" fontId="12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68" xfId="0" applyNumberFormat="1" applyFont="1" applyFill="1" applyBorder="1" applyAlignment="1">
      <alignment horizontal="right" vertical="center" indent="1"/>
    </xf>
    <xf numFmtId="166" fontId="12" fillId="12" borderId="68" xfId="0" applyNumberFormat="1" applyFont="1" applyFill="1" applyBorder="1" applyAlignment="1">
      <alignment horizontal="left" vertical="center" indent="1"/>
    </xf>
    <xf numFmtId="3" fontId="12" fillId="12" borderId="68" xfId="0" applyNumberFormat="1" applyFont="1" applyFill="1" applyBorder="1" applyAlignment="1">
      <alignment horizontal="right" vertical="center" indent="1"/>
    </xf>
    <xf numFmtId="3" fontId="18" fillId="2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67" xfId="0" applyFont="1" applyFill="1" applyBorder="1"/>
    <xf numFmtId="3" fontId="23" fillId="0" borderId="68" xfId="0" applyNumberFormat="1" applyFont="1" applyBorder="1" applyAlignment="1">
      <alignment horizontal="right" vertical="center" indent="1"/>
    </xf>
    <xf numFmtId="4" fontId="23" fillId="0" borderId="68" xfId="0" applyNumberFormat="1" applyFont="1" applyBorder="1" applyAlignment="1">
      <alignment horizontal="right" vertical="center" indent="1"/>
    </xf>
    <xf numFmtId="2" fontId="23" fillId="0" borderId="68" xfId="0" applyNumberFormat="1" applyFont="1" applyBorder="1" applyAlignment="1">
      <alignment horizontal="right" vertical="center" indent="1"/>
    </xf>
    <xf numFmtId="3" fontId="8" fillId="2" borderId="68" xfId="0" applyNumberFormat="1" applyFont="1" applyFill="1" applyBorder="1" applyAlignment="1">
      <alignment horizontal="right" vertical="center" wrapText="1" indent="1"/>
    </xf>
    <xf numFmtId="4" fontId="8" fillId="0" borderId="68" xfId="11" applyNumberFormat="1" applyFont="1" applyFill="1" applyBorder="1" applyAlignment="1">
      <alignment horizontal="right" vertical="center" indent="1"/>
    </xf>
    <xf numFmtId="0" fontId="17" fillId="0" borderId="68" xfId="0" applyFont="1" applyBorder="1"/>
    <xf numFmtId="0" fontId="18" fillId="0" borderId="68" xfId="0" applyFont="1" applyBorder="1" applyAlignment="1">
      <alignment vertical="center"/>
    </xf>
    <xf numFmtId="3" fontId="18" fillId="0" borderId="68" xfId="0" applyNumberFormat="1" applyFont="1" applyBorder="1" applyAlignment="1">
      <alignment horizontal="right" vertical="center" indent="1"/>
    </xf>
    <xf numFmtId="4" fontId="18" fillId="0" borderId="68" xfId="0" applyNumberFormat="1" applyFont="1" applyBorder="1" applyAlignment="1">
      <alignment horizontal="right" vertical="center" indent="1"/>
    </xf>
    <xf numFmtId="2" fontId="18" fillId="0" borderId="68" xfId="0" applyNumberFormat="1" applyFont="1" applyBorder="1" applyAlignment="1">
      <alignment horizontal="right" vertical="center" indent="1"/>
    </xf>
    <xf numFmtId="1" fontId="3" fillId="0" borderId="68" xfId="0" applyNumberFormat="1" applyFont="1" applyBorder="1" applyAlignment="1">
      <alignment horizontal="left" vertical="center"/>
    </xf>
    <xf numFmtId="0" fontId="2" fillId="0" borderId="68" xfId="0" applyFont="1" applyBorder="1" applyAlignment="1">
      <alignment horizontal="justify" vertical="center"/>
    </xf>
    <xf numFmtId="9" fontId="2" fillId="0" borderId="68" xfId="0" applyNumberFormat="1" applyFont="1" applyBorder="1" applyAlignment="1">
      <alignment horizontal="right" vertical="center" indent="1"/>
    </xf>
    <xf numFmtId="9" fontId="2" fillId="0" borderId="68" xfId="11" applyFont="1" applyBorder="1" applyAlignment="1">
      <alignment horizontal="right" vertical="center" indent="1"/>
    </xf>
    <xf numFmtId="0" fontId="2" fillId="0" borderId="68" xfId="0" applyFont="1" applyBorder="1" applyAlignment="1">
      <alignment horizontal="left" vertical="center" wrapText="1"/>
    </xf>
    <xf numFmtId="4" fontId="2" fillId="0" borderId="68" xfId="0" applyNumberFormat="1" applyFont="1" applyBorder="1" applyAlignment="1">
      <alignment horizontal="right" vertical="center" wrapText="1" indent="1"/>
    </xf>
    <xf numFmtId="0" fontId="18" fillId="0" borderId="68" xfId="0" applyFont="1" applyBorder="1" applyAlignment="1">
      <alignment vertical="center" wrapText="1"/>
    </xf>
    <xf numFmtId="0" fontId="17" fillId="0" borderId="68" xfId="0" applyFont="1" applyBorder="1" applyAlignment="1">
      <alignment horizontal="left" vertical="center" indent="1"/>
    </xf>
    <xf numFmtId="0" fontId="17" fillId="0" borderId="68" xfId="0" applyFont="1" applyBorder="1" applyAlignment="1">
      <alignment horizontal="right" vertical="center" indent="1"/>
    </xf>
    <xf numFmtId="0" fontId="3" fillId="0" borderId="68" xfId="0" applyFont="1" applyBorder="1" applyAlignment="1">
      <alignment horizontal="left" vertical="center" wrapText="1"/>
    </xf>
    <xf numFmtId="0" fontId="2" fillId="0" borderId="68" xfId="15" applyFont="1" applyFill="1" applyBorder="1" applyAlignment="1">
      <alignment horizontal="left" vertical="center" wrapText="1"/>
    </xf>
    <xf numFmtId="0" fontId="2" fillId="0" borderId="68" xfId="15" applyFont="1" applyFill="1" applyBorder="1" applyAlignment="1">
      <alignment horizontal="left" vertical="center" wrapText="1" indent="1"/>
    </xf>
    <xf numFmtId="0" fontId="2" fillId="0" borderId="68" xfId="15" applyFont="1" applyFill="1" applyBorder="1" applyAlignment="1">
      <alignment horizontal="right" vertical="center" wrapText="1" inden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right" vertical="center" wrapText="1" indent="1"/>
    </xf>
    <xf numFmtId="0" fontId="40" fillId="0" borderId="68" xfId="0" applyFont="1" applyBorder="1" applyAlignment="1">
      <alignment horizontal="left" vertical="center"/>
    </xf>
    <xf numFmtId="3" fontId="2" fillId="0" borderId="68" xfId="0" applyNumberFormat="1" applyFont="1" applyBorder="1" applyAlignment="1">
      <alignment horizontal="right" vertical="center" indent="1"/>
    </xf>
    <xf numFmtId="0" fontId="2" fillId="0" borderId="68" xfId="0" applyFont="1" applyBorder="1" applyAlignment="1">
      <alignment horizontal="left" vertical="center" wrapText="1" indent="1"/>
    </xf>
    <xf numFmtId="0" fontId="2" fillId="0" borderId="68" xfId="0" applyFont="1" applyBorder="1" applyAlignment="1">
      <alignment horizontal="right" vertical="center" wrapText="1" indent="1"/>
    </xf>
    <xf numFmtId="9" fontId="2" fillId="0" borderId="68" xfId="0" applyNumberFormat="1" applyFont="1" applyBorder="1" applyAlignment="1">
      <alignment horizontal="right" vertical="center" wrapText="1" indent="1"/>
    </xf>
    <xf numFmtId="3" fontId="2" fillId="0" borderId="68" xfId="0" applyNumberFormat="1" applyFont="1" applyBorder="1" applyAlignment="1">
      <alignment horizontal="right" vertical="center" wrapText="1" indent="1"/>
    </xf>
    <xf numFmtId="3" fontId="2" fillId="0" borderId="68" xfId="11" applyNumberFormat="1" applyFont="1" applyBorder="1" applyAlignment="1">
      <alignment horizontal="right" vertical="center" wrapText="1" indent="1"/>
    </xf>
    <xf numFmtId="0" fontId="18" fillId="0" borderId="68" xfId="0" applyFont="1" applyBorder="1" applyAlignment="1">
      <alignment horizontal="left" vertical="center" indent="1"/>
    </xf>
    <xf numFmtId="0" fontId="18" fillId="0" borderId="68" xfId="0" applyFont="1" applyBorder="1" applyAlignment="1">
      <alignment horizontal="right" vertical="center" indent="1"/>
    </xf>
    <xf numFmtId="1" fontId="3" fillId="0" borderId="68" xfId="0" applyNumberFormat="1" applyFont="1" applyFill="1" applyBorder="1" applyAlignment="1">
      <alignment horizontal="left" vertical="center"/>
    </xf>
    <xf numFmtId="4" fontId="43" fillId="5" borderId="76" xfId="8" applyNumberFormat="1" applyFont="1" applyFill="1" applyBorder="1" applyAlignment="1">
      <alignment horizontal="left" vertical="center" wrapText="1" indent="1"/>
    </xf>
    <xf numFmtId="4" fontId="43" fillId="5" borderId="76" xfId="8" applyNumberFormat="1" applyFont="1" applyFill="1" applyBorder="1" applyAlignment="1">
      <alignment horizontal="right" vertical="center" wrapText="1" indent="1"/>
    </xf>
    <xf numFmtId="3" fontId="47" fillId="5" borderId="77" xfId="8" applyNumberFormat="1" applyFont="1" applyFill="1" applyBorder="1" applyAlignment="1">
      <alignment horizontal="right" vertical="center" wrapText="1" indent="1"/>
    </xf>
    <xf numFmtId="4" fontId="47" fillId="5" borderId="78" xfId="8" applyNumberFormat="1" applyFont="1" applyFill="1" applyBorder="1" applyAlignment="1">
      <alignment horizontal="right" vertical="center" wrapText="1" indent="1"/>
    </xf>
    <xf numFmtId="2" fontId="47" fillId="5" borderId="79" xfId="0" applyNumberFormat="1" applyFont="1" applyFill="1" applyBorder="1" applyAlignment="1">
      <alignment horizontal="right" vertical="center" indent="1"/>
    </xf>
    <xf numFmtId="0" fontId="44" fillId="9" borderId="80" xfId="10" applyFont="1" applyFill="1" applyBorder="1" applyAlignment="1">
      <alignment horizontal="left" vertical="center" wrapText="1"/>
    </xf>
    <xf numFmtId="0" fontId="45" fillId="9" borderId="75" xfId="10" applyFont="1" applyFill="1" applyBorder="1" applyAlignment="1">
      <alignment horizontal="justify" vertical="center" wrapText="1"/>
    </xf>
    <xf numFmtId="0" fontId="45" fillId="9" borderId="76" xfId="10" applyFont="1" applyFill="1" applyBorder="1" applyAlignment="1">
      <alignment horizontal="left" vertical="center" wrapText="1" indent="1"/>
    </xf>
    <xf numFmtId="0" fontId="45" fillId="9" borderId="76" xfId="10" applyFont="1" applyFill="1" applyBorder="1" applyAlignment="1">
      <alignment horizontal="right" vertical="center" wrapText="1" indent="1"/>
    </xf>
    <xf numFmtId="3" fontId="45" fillId="9" borderId="77" xfId="10" applyNumberFormat="1" applyFont="1" applyFill="1" applyBorder="1" applyAlignment="1">
      <alignment horizontal="right" vertical="center" wrapText="1" indent="1"/>
    </xf>
    <xf numFmtId="4" fontId="45" fillId="9" borderId="78" xfId="10" applyNumberFormat="1" applyFont="1" applyFill="1" applyBorder="1" applyAlignment="1">
      <alignment horizontal="right" vertical="center" wrapText="1" indent="1"/>
    </xf>
    <xf numFmtId="2" fontId="42" fillId="9" borderId="79" xfId="0" applyNumberFormat="1" applyFont="1" applyFill="1" applyBorder="1" applyAlignment="1">
      <alignment horizontal="right" vertical="center" indent="1"/>
    </xf>
    <xf numFmtId="3" fontId="44" fillId="2" borderId="80" xfId="10" applyNumberFormat="1" applyFont="1" applyFill="1" applyBorder="1" applyAlignment="1">
      <alignment horizontal="left" vertical="center" wrapText="1"/>
    </xf>
    <xf numFmtId="0" fontId="45" fillId="4" borderId="75" xfId="10" applyFont="1" applyFill="1" applyBorder="1" applyAlignment="1">
      <alignment horizontal="justify" vertical="center"/>
    </xf>
    <xf numFmtId="0" fontId="45" fillId="4" borderId="76" xfId="10" applyFont="1" applyFill="1" applyBorder="1" applyAlignment="1">
      <alignment horizontal="left" vertical="center" indent="1"/>
    </xf>
    <xf numFmtId="0" fontId="45" fillId="4" borderId="76" xfId="10" applyFont="1" applyFill="1" applyBorder="1" applyAlignment="1">
      <alignment horizontal="right" vertical="center" indent="1"/>
    </xf>
    <xf numFmtId="3" fontId="45" fillId="4" borderId="77" xfId="10" applyNumberFormat="1" applyFont="1" applyFill="1" applyBorder="1" applyAlignment="1">
      <alignment horizontal="right" vertical="center" wrapText="1" indent="1"/>
    </xf>
    <xf numFmtId="4" fontId="45" fillId="4" borderId="78" xfId="10" applyNumberFormat="1" applyFont="1" applyFill="1" applyBorder="1" applyAlignment="1">
      <alignment horizontal="right" vertical="center" wrapText="1" indent="1"/>
    </xf>
    <xf numFmtId="2" fontId="42" fillId="2" borderId="79" xfId="0" applyNumberFormat="1" applyFont="1" applyFill="1" applyBorder="1" applyAlignment="1">
      <alignment horizontal="right" vertical="center" indent="1"/>
    </xf>
    <xf numFmtId="0" fontId="28" fillId="4" borderId="78" xfId="10" applyFont="1" applyFill="1" applyBorder="1" applyAlignment="1">
      <alignment horizontal="justify" vertical="center"/>
    </xf>
    <xf numFmtId="4" fontId="28" fillId="4" borderId="81" xfId="10" applyNumberFormat="1" applyFont="1" applyFill="1" applyBorder="1" applyAlignment="1">
      <alignment horizontal="left" vertical="center" wrapText="1" indent="1"/>
    </xf>
    <xf numFmtId="4" fontId="28" fillId="2" borderId="81" xfId="10" applyNumberFormat="1" applyFont="1" applyFill="1" applyBorder="1" applyAlignment="1">
      <alignment horizontal="left" vertical="center" wrapText="1" indent="1"/>
    </xf>
    <xf numFmtId="3" fontId="28" fillId="2" borderId="81" xfId="10" applyNumberFormat="1" applyFont="1" applyFill="1" applyBorder="1" applyAlignment="1">
      <alignment horizontal="right" vertical="center" wrapText="1" indent="1"/>
    </xf>
    <xf numFmtId="2" fontId="28" fillId="2" borderId="81" xfId="0" applyNumberFormat="1" applyFont="1" applyFill="1" applyBorder="1" applyAlignment="1">
      <alignment horizontal="right" vertical="center" indent="1"/>
    </xf>
    <xf numFmtId="3" fontId="28" fillId="4" borderId="78" xfId="10" applyNumberFormat="1" applyFont="1" applyFill="1" applyBorder="1" applyAlignment="1">
      <alignment horizontal="right" vertical="center" wrapText="1" indent="1"/>
    </xf>
    <xf numFmtId="4" fontId="28" fillId="4" borderId="78" xfId="10" applyNumberFormat="1" applyFont="1" applyFill="1" applyBorder="1" applyAlignment="1">
      <alignment horizontal="right" vertical="center" wrapText="1" indent="1"/>
    </xf>
    <xf numFmtId="4" fontId="28" fillId="4" borderId="82" xfId="10" applyNumberFormat="1" applyFont="1" applyFill="1" applyBorder="1" applyAlignment="1">
      <alignment horizontal="left" vertical="center" wrapText="1" indent="1"/>
    </xf>
    <xf numFmtId="4" fontId="28" fillId="2" borderId="82" xfId="10" applyNumberFormat="1" applyFont="1" applyFill="1" applyBorder="1" applyAlignment="1">
      <alignment horizontal="left" vertical="center" wrapText="1" indent="1"/>
    </xf>
    <xf numFmtId="3" fontId="28" fillId="2" borderId="82" xfId="10" applyNumberFormat="1" applyFont="1" applyFill="1" applyBorder="1" applyAlignment="1">
      <alignment horizontal="right" vertical="center" wrapText="1" indent="1"/>
    </xf>
    <xf numFmtId="2" fontId="28" fillId="2" borderId="82" xfId="0" applyNumberFormat="1" applyFont="1" applyFill="1" applyBorder="1" applyAlignment="1">
      <alignment horizontal="right" vertical="center" indent="1"/>
    </xf>
    <xf numFmtId="3" fontId="45" fillId="2" borderId="80" xfId="10" applyNumberFormat="1" applyFont="1" applyFill="1" applyBorder="1" applyAlignment="1">
      <alignment horizontal="left" vertical="center" wrapText="1"/>
    </xf>
    <xf numFmtId="0" fontId="45" fillId="4" borderId="75" xfId="10" applyFont="1" applyFill="1" applyBorder="1" applyAlignment="1">
      <alignment horizontal="justify" vertical="center" wrapText="1"/>
    </xf>
    <xf numFmtId="0" fontId="45" fillId="4" borderId="76" xfId="10" applyFont="1" applyFill="1" applyBorder="1" applyAlignment="1">
      <alignment horizontal="left" vertical="center" wrapText="1" indent="1"/>
    </xf>
    <xf numFmtId="0" fontId="45" fillId="2" borderId="76" xfId="10" applyFont="1" applyFill="1" applyBorder="1" applyAlignment="1">
      <alignment horizontal="left" vertical="center" wrapText="1" indent="1"/>
    </xf>
    <xf numFmtId="0" fontId="45" fillId="2" borderId="76" xfId="10" applyFont="1" applyFill="1" applyBorder="1" applyAlignment="1">
      <alignment horizontal="right" vertical="center" wrapText="1" indent="1"/>
    </xf>
    <xf numFmtId="49" fontId="28" fillId="2" borderId="78" xfId="10" applyNumberFormat="1" applyFont="1" applyFill="1" applyBorder="1" applyAlignment="1">
      <alignment horizontal="justify" vertical="center" wrapText="1"/>
    </xf>
    <xf numFmtId="4" fontId="28" fillId="2" borderId="81" xfId="10" applyNumberFormat="1" applyFont="1" applyFill="1" applyBorder="1" applyAlignment="1">
      <alignment horizontal="right" vertical="center" wrapText="1" indent="1"/>
    </xf>
    <xf numFmtId="3" fontId="28" fillId="2" borderId="78" xfId="10" applyNumberFormat="1" applyFont="1" applyFill="1" applyBorder="1" applyAlignment="1">
      <alignment horizontal="right" vertical="center" indent="1"/>
    </xf>
    <xf numFmtId="4" fontId="28" fillId="2" borderId="78" xfId="10" applyNumberFormat="1" applyFont="1" applyFill="1" applyBorder="1" applyAlignment="1">
      <alignment horizontal="right" vertical="center" indent="1"/>
    </xf>
    <xf numFmtId="4" fontId="28" fillId="2" borderId="78" xfId="10" applyNumberFormat="1" applyFont="1" applyFill="1" applyBorder="1" applyAlignment="1">
      <alignment horizontal="left" vertical="center" wrapText="1" indent="1"/>
    </xf>
    <xf numFmtId="3" fontId="28" fillId="2" borderId="78" xfId="10" applyNumberFormat="1" applyFont="1" applyFill="1" applyBorder="1" applyAlignment="1">
      <alignment horizontal="right" vertical="center" wrapText="1" indent="1"/>
    </xf>
    <xf numFmtId="2" fontId="28" fillId="2" borderId="78" xfId="0" applyNumberFormat="1" applyFont="1" applyFill="1" applyBorder="1" applyAlignment="1">
      <alignment horizontal="right" vertical="center" indent="1"/>
    </xf>
    <xf numFmtId="0" fontId="28" fillId="2" borderId="82" xfId="10" applyFont="1" applyFill="1" applyBorder="1" applyAlignment="1">
      <alignment horizontal="left" vertical="center" wrapText="1" indent="1"/>
    </xf>
    <xf numFmtId="4" fontId="28" fillId="2" borderId="82" xfId="10" applyNumberFormat="1" applyFont="1" applyFill="1" applyBorder="1" applyAlignment="1">
      <alignment horizontal="right" vertical="center" wrapText="1" indent="1"/>
    </xf>
    <xf numFmtId="1" fontId="45" fillId="2" borderId="80" xfId="10" applyNumberFormat="1" applyFont="1" applyFill="1" applyBorder="1" applyAlignment="1">
      <alignment horizontal="left" vertical="center" wrapText="1"/>
    </xf>
    <xf numFmtId="0" fontId="45" fillId="4" borderId="76" xfId="10" applyFont="1" applyFill="1" applyBorder="1" applyAlignment="1">
      <alignment horizontal="right" vertical="center" wrapText="1" indent="1"/>
    </xf>
    <xf numFmtId="49" fontId="28" fillId="4" borderId="78" xfId="10" applyNumberFormat="1" applyFont="1" applyFill="1" applyBorder="1" applyAlignment="1">
      <alignment horizontal="justify" vertical="center" wrapText="1"/>
    </xf>
    <xf numFmtId="0" fontId="28" fillId="4" borderId="81" xfId="10" applyFont="1" applyFill="1" applyBorder="1" applyAlignment="1">
      <alignment horizontal="left" vertical="center" wrapText="1" indent="1"/>
    </xf>
    <xf numFmtId="0" fontId="28" fillId="4" borderId="78" xfId="10" applyFont="1" applyFill="1" applyBorder="1" applyAlignment="1">
      <alignment horizontal="left" vertical="center" wrapText="1" indent="1"/>
    </xf>
    <xf numFmtId="4" fontId="28" fillId="4" borderId="78" xfId="10" applyNumberFormat="1" applyFont="1" applyFill="1" applyBorder="1" applyAlignment="1">
      <alignment horizontal="left" vertical="center" wrapText="1" indent="1"/>
    </xf>
    <xf numFmtId="0" fontId="28" fillId="4" borderId="78" xfId="10" applyFont="1" applyFill="1" applyBorder="1" applyAlignment="1">
      <alignment horizontal="justify" vertical="center" wrapText="1"/>
    </xf>
    <xf numFmtId="2" fontId="41" fillId="2" borderId="80" xfId="10" applyNumberFormat="1" applyFont="1" applyFill="1" applyBorder="1" applyAlignment="1">
      <alignment horizontal="right" vertical="center" wrapText="1"/>
    </xf>
    <xf numFmtId="1" fontId="44" fillId="2" borderId="80" xfId="10" applyNumberFormat="1" applyFont="1" applyFill="1" applyBorder="1" applyAlignment="1">
      <alignment horizontal="left" vertical="center" wrapText="1"/>
    </xf>
    <xf numFmtId="0" fontId="45" fillId="2" borderId="75" xfId="10" applyFont="1" applyFill="1" applyBorder="1" applyAlignment="1">
      <alignment horizontal="justify" vertical="center" wrapText="1"/>
    </xf>
    <xf numFmtId="0" fontId="45" fillId="2" borderId="77" xfId="10" applyFont="1" applyFill="1" applyBorder="1" applyAlignment="1">
      <alignment horizontal="right" vertical="center" wrapText="1" indent="1"/>
    </xf>
    <xf numFmtId="3" fontId="45" fillId="2" borderId="78" xfId="10" applyNumberFormat="1" applyFont="1" applyFill="1" applyBorder="1" applyAlignment="1">
      <alignment horizontal="right" vertical="center" wrapText="1" indent="1"/>
    </xf>
    <xf numFmtId="4" fontId="45" fillId="2" borderId="78" xfId="10" applyNumberFormat="1" applyFont="1" applyFill="1" applyBorder="1" applyAlignment="1">
      <alignment horizontal="right" vertical="center" wrapText="1" indent="1"/>
    </xf>
    <xf numFmtId="4" fontId="42" fillId="2" borderId="81" xfId="10" applyNumberFormat="1" applyFont="1" applyFill="1" applyBorder="1" applyAlignment="1">
      <alignment horizontal="left" vertical="center" wrapText="1" indent="1"/>
    </xf>
    <xf numFmtId="49" fontId="28" fillId="2" borderId="81" xfId="10" applyNumberFormat="1" applyFont="1" applyFill="1" applyBorder="1" applyAlignment="1">
      <alignment horizontal="left" vertical="center" wrapText="1" indent="1"/>
    </xf>
    <xf numFmtId="49" fontId="28" fillId="2" borderId="78" xfId="10" applyNumberFormat="1" applyFont="1" applyFill="1" applyBorder="1" applyAlignment="1">
      <alignment horizontal="left" vertical="center" wrapText="1" indent="1"/>
    </xf>
    <xf numFmtId="0" fontId="28" fillId="2" borderId="78" xfId="10" applyFont="1" applyFill="1" applyBorder="1" applyAlignment="1">
      <alignment horizontal="left" vertical="center" indent="1"/>
    </xf>
    <xf numFmtId="0" fontId="28" fillId="2" borderId="78" xfId="10" applyFont="1" applyFill="1" applyBorder="1" applyAlignment="1">
      <alignment horizontal="right" vertical="center" indent="1"/>
    </xf>
    <xf numFmtId="0" fontId="28" fillId="2" borderId="82" xfId="10" applyFont="1" applyFill="1" applyBorder="1" applyAlignment="1">
      <alignment horizontal="left" vertical="center" indent="1"/>
    </xf>
    <xf numFmtId="0" fontId="28" fillId="2" borderId="82" xfId="10" applyFont="1" applyFill="1" applyBorder="1" applyAlignment="1">
      <alignment horizontal="right" vertical="center" indent="1"/>
    </xf>
    <xf numFmtId="0" fontId="45" fillId="9" borderId="80" xfId="8" applyFont="1" applyFill="1" applyBorder="1" applyAlignment="1">
      <alignment horizontal="left" vertical="center"/>
    </xf>
    <xf numFmtId="1" fontId="45" fillId="9" borderId="75" xfId="10" applyNumberFormat="1" applyFont="1" applyFill="1" applyBorder="1" applyAlignment="1">
      <alignment horizontal="justify" vertical="center" wrapText="1"/>
    </xf>
    <xf numFmtId="1" fontId="45" fillId="9" borderId="57" xfId="10" applyNumberFormat="1" applyFont="1" applyFill="1" applyBorder="1" applyAlignment="1">
      <alignment horizontal="left" vertical="center" wrapText="1" indent="1"/>
    </xf>
    <xf numFmtId="1" fontId="45" fillId="9" borderId="57" xfId="10" applyNumberFormat="1" applyFont="1" applyFill="1" applyBorder="1" applyAlignment="1">
      <alignment horizontal="right" vertical="center" wrapText="1" indent="1"/>
    </xf>
    <xf numFmtId="1" fontId="45" fillId="9" borderId="77" xfId="10" applyNumberFormat="1" applyFont="1" applyFill="1" applyBorder="1" applyAlignment="1">
      <alignment horizontal="right" vertical="center" wrapText="1" indent="1"/>
    </xf>
    <xf numFmtId="3" fontId="45" fillId="9" borderId="78" xfId="10" applyNumberFormat="1" applyFont="1" applyFill="1" applyBorder="1" applyAlignment="1">
      <alignment horizontal="right" vertical="center" indent="1"/>
    </xf>
    <xf numFmtId="4" fontId="45" fillId="9" borderId="78" xfId="10" applyNumberFormat="1" applyFont="1" applyFill="1" applyBorder="1" applyAlignment="1">
      <alignment horizontal="right" vertical="center" indent="1"/>
    </xf>
    <xf numFmtId="0" fontId="46" fillId="2" borderId="80" xfId="8" applyFont="1" applyFill="1" applyBorder="1" applyAlignment="1">
      <alignment horizontal="right" vertical="center"/>
    </xf>
    <xf numFmtId="1" fontId="28" fillId="2" borderId="78" xfId="10" applyNumberFormat="1" applyFont="1" applyFill="1" applyBorder="1" applyAlignment="1">
      <alignment horizontal="justify" vertical="center" wrapText="1"/>
    </xf>
    <xf numFmtId="0" fontId="28" fillId="2" borderId="81" xfId="10" applyFont="1" applyFill="1" applyBorder="1" applyAlignment="1">
      <alignment horizontal="left" vertical="center" wrapText="1" indent="1"/>
    </xf>
    <xf numFmtId="1" fontId="28" fillId="2" borderId="81" xfId="10" applyNumberFormat="1" applyFont="1" applyFill="1" applyBorder="1" applyAlignment="1">
      <alignment horizontal="left" vertical="center" wrapText="1" indent="1"/>
    </xf>
    <xf numFmtId="1" fontId="28" fillId="2" borderId="81" xfId="10" applyNumberFormat="1" applyFont="1" applyFill="1" applyBorder="1" applyAlignment="1">
      <alignment horizontal="right" vertical="center" wrapText="1" indent="1"/>
    </xf>
    <xf numFmtId="0" fontId="28" fillId="2" borderId="78" xfId="0" applyFont="1" applyFill="1" applyBorder="1" applyAlignment="1">
      <alignment horizontal="left" vertical="center" wrapText="1" indent="1"/>
    </xf>
    <xf numFmtId="3" fontId="28" fillId="2" borderId="78" xfId="0" applyNumberFormat="1" applyFont="1" applyFill="1" applyBorder="1" applyAlignment="1">
      <alignment horizontal="right" vertical="center" wrapText="1" indent="1"/>
    </xf>
    <xf numFmtId="0" fontId="28" fillId="2" borderId="78" xfId="0" applyFont="1" applyFill="1" applyBorder="1" applyAlignment="1">
      <alignment horizontal="right" vertical="center" indent="1"/>
    </xf>
    <xf numFmtId="165" fontId="28" fillId="2" borderId="78" xfId="10" applyNumberFormat="1" applyFont="1" applyFill="1" applyBorder="1" applyAlignment="1">
      <alignment horizontal="right" vertical="center" indent="1"/>
    </xf>
    <xf numFmtId="2" fontId="28" fillId="2" borderId="79" xfId="10" applyNumberFormat="1" applyFont="1" applyFill="1" applyBorder="1" applyAlignment="1">
      <alignment horizontal="right" vertical="center" indent="1"/>
    </xf>
    <xf numFmtId="1" fontId="28" fillId="2" borderId="78" xfId="10" applyNumberFormat="1" applyFont="1" applyFill="1" applyBorder="1" applyAlignment="1">
      <alignment horizontal="right" vertical="center" indent="1"/>
    </xf>
    <xf numFmtId="0" fontId="48" fillId="9" borderId="80" xfId="8" applyFont="1" applyFill="1" applyBorder="1" applyAlignment="1">
      <alignment horizontal="left" vertical="center"/>
    </xf>
    <xf numFmtId="1" fontId="45" fillId="9" borderId="78" xfId="10" applyNumberFormat="1" applyFont="1" applyFill="1" applyBorder="1" applyAlignment="1">
      <alignment horizontal="justify" vertical="center" wrapText="1"/>
    </xf>
    <xf numFmtId="1" fontId="45" fillId="9" borderId="78" xfId="10" applyNumberFormat="1" applyFont="1" applyFill="1" applyBorder="1" applyAlignment="1">
      <alignment horizontal="left" vertical="center" wrapText="1" indent="1"/>
    </xf>
    <xf numFmtId="1" fontId="45" fillId="9" borderId="78" xfId="10" applyNumberFormat="1" applyFont="1" applyFill="1" applyBorder="1" applyAlignment="1">
      <alignment horizontal="right" vertical="center" wrapText="1" indent="1"/>
    </xf>
    <xf numFmtId="3" fontId="48" fillId="9" borderId="78" xfId="10" applyNumberFormat="1" applyFont="1" applyFill="1" applyBorder="1" applyAlignment="1">
      <alignment horizontal="right" vertical="center" indent="1"/>
    </xf>
    <xf numFmtId="4" fontId="48" fillId="9" borderId="78" xfId="10" applyNumberFormat="1" applyFont="1" applyFill="1" applyBorder="1" applyAlignment="1">
      <alignment horizontal="right" vertical="center" indent="1"/>
    </xf>
    <xf numFmtId="2" fontId="48" fillId="9" borderId="79" xfId="10" applyNumberFormat="1" applyFont="1" applyFill="1" applyBorder="1" applyAlignment="1">
      <alignment horizontal="right" vertical="center" indent="1"/>
    </xf>
    <xf numFmtId="0" fontId="41" fillId="2" borderId="80" xfId="8" applyFont="1" applyFill="1" applyBorder="1" applyAlignment="1">
      <alignment horizontal="right" vertical="center"/>
    </xf>
    <xf numFmtId="0" fontId="41" fillId="2" borderId="78" xfId="8" applyFont="1" applyFill="1" applyBorder="1" applyAlignment="1">
      <alignment vertical="center"/>
    </xf>
    <xf numFmtId="0" fontId="41" fillId="2" borderId="78" xfId="8" applyFont="1" applyFill="1" applyBorder="1" applyAlignment="1">
      <alignment horizontal="left" vertical="center" indent="1"/>
    </xf>
    <xf numFmtId="0" fontId="41" fillId="2" borderId="78" xfId="8" applyFont="1" applyFill="1" applyBorder="1" applyAlignment="1">
      <alignment horizontal="right" vertical="center" indent="1"/>
    </xf>
    <xf numFmtId="0" fontId="2" fillId="0" borderId="70" xfId="0" applyFont="1" applyBorder="1"/>
    <xf numFmtId="0" fontId="2" fillId="0" borderId="66" xfId="0" applyFont="1" applyFill="1" applyBorder="1" applyAlignment="1">
      <alignment horizontal="right" vertical="center" indent="1"/>
    </xf>
    <xf numFmtId="0" fontId="2" fillId="0" borderId="66" xfId="0" applyFont="1" applyBorder="1"/>
    <xf numFmtId="0" fontId="2" fillId="2" borderId="86" xfId="0" applyFont="1" applyFill="1" applyBorder="1"/>
    <xf numFmtId="0" fontId="2" fillId="2" borderId="87" xfId="0" applyFont="1" applyFill="1" applyBorder="1"/>
    <xf numFmtId="0" fontId="4" fillId="7" borderId="76" xfId="0" applyFont="1" applyFill="1" applyBorder="1" applyAlignment="1">
      <alignment horizontal="right" vertical="center" wrapText="1" indent="1"/>
    </xf>
    <xf numFmtId="2" fontId="23" fillId="0" borderId="76" xfId="0" applyNumberFormat="1" applyFont="1" applyBorder="1" applyAlignment="1">
      <alignment horizontal="right" vertical="center" indent="1"/>
    </xf>
    <xf numFmtId="0" fontId="4" fillId="2" borderId="76" xfId="0" applyFont="1" applyFill="1" applyBorder="1" applyAlignment="1">
      <alignment horizontal="left" vertical="center" wrapText="1" indent="1"/>
    </xf>
    <xf numFmtId="0" fontId="4" fillId="2" borderId="76" xfId="0" applyFont="1" applyFill="1" applyBorder="1" applyAlignment="1">
      <alignment horizontal="right" vertical="center" wrapText="1" indent="1"/>
    </xf>
    <xf numFmtId="3" fontId="8" fillId="2" borderId="88" xfId="0" applyNumberFormat="1" applyFont="1" applyFill="1" applyBorder="1" applyAlignment="1">
      <alignment horizontal="right" vertical="center" wrapText="1" indent="1"/>
    </xf>
    <xf numFmtId="4" fontId="8" fillId="2" borderId="88" xfId="0" applyNumberFormat="1" applyFont="1" applyFill="1" applyBorder="1" applyAlignment="1">
      <alignment horizontal="right" vertical="center" wrapText="1" indent="1"/>
    </xf>
    <xf numFmtId="2" fontId="8" fillId="2" borderId="76" xfId="0" applyNumberFormat="1" applyFont="1" applyFill="1" applyBorder="1" applyAlignment="1">
      <alignment horizontal="right" vertical="center" wrapText="1" indent="1"/>
    </xf>
    <xf numFmtId="0" fontId="2" fillId="0" borderId="76" xfId="0" applyFont="1" applyBorder="1" applyAlignment="1">
      <alignment horizontal="left"/>
    </xf>
    <xf numFmtId="0" fontId="8" fillId="2" borderId="76" xfId="0" applyFont="1" applyFill="1" applyBorder="1" applyAlignment="1">
      <alignment vertical="center" wrapText="1"/>
    </xf>
    <xf numFmtId="0" fontId="18" fillId="2" borderId="76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indent="1"/>
    </xf>
    <xf numFmtId="0" fontId="17" fillId="0" borderId="76" xfId="0" applyFont="1" applyFill="1" applyBorder="1" applyAlignment="1">
      <alignment horizontal="right" vertical="center" indent="1"/>
    </xf>
    <xf numFmtId="1" fontId="17" fillId="0" borderId="76" xfId="0" applyNumberFormat="1" applyFont="1" applyFill="1" applyBorder="1" applyAlignment="1">
      <alignment horizontal="right" vertical="center" indent="1"/>
    </xf>
    <xf numFmtId="173" fontId="18" fillId="2" borderId="76" xfId="0" applyNumberFormat="1" applyFont="1" applyFill="1" applyBorder="1" applyAlignment="1">
      <alignment horizontal="right" vertical="center" wrapText="1" indent="1"/>
    </xf>
    <xf numFmtId="3" fontId="18" fillId="2" borderId="76" xfId="0" applyNumberFormat="1" applyFont="1" applyFill="1" applyBorder="1" applyAlignment="1">
      <alignment horizontal="right" vertical="center" wrapText="1" indent="1"/>
    </xf>
    <xf numFmtId="4" fontId="18" fillId="2" borderId="76" xfId="0" applyNumberFormat="1" applyFont="1" applyFill="1" applyBorder="1" applyAlignment="1">
      <alignment horizontal="right" vertical="center" wrapText="1" indent="1"/>
    </xf>
    <xf numFmtId="173" fontId="4" fillId="2" borderId="76" xfId="0" applyNumberFormat="1" applyFont="1" applyFill="1" applyBorder="1" applyAlignment="1">
      <alignment horizontal="right" vertical="center" wrapText="1" indent="1"/>
    </xf>
    <xf numFmtId="0" fontId="18" fillId="0" borderId="76" xfId="0" applyFont="1" applyBorder="1" applyAlignment="1">
      <alignment horizontal="left" vertical="center"/>
    </xf>
    <xf numFmtId="0" fontId="8" fillId="0" borderId="76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horizontal="right" vertical="center" indent="1"/>
    </xf>
    <xf numFmtId="173" fontId="2" fillId="2" borderId="76" xfId="0" applyNumberFormat="1" applyFont="1" applyFill="1" applyBorder="1" applyAlignment="1">
      <alignment horizontal="right" vertical="center" wrapText="1" indent="1"/>
    </xf>
    <xf numFmtId="3" fontId="12" fillId="0" borderId="76" xfId="0" applyNumberFormat="1" applyFont="1" applyFill="1" applyBorder="1" applyAlignment="1">
      <alignment horizontal="right" vertical="center" wrapText="1" indent="1"/>
    </xf>
    <xf numFmtId="4" fontId="12" fillId="0" borderId="89" xfId="0" applyNumberFormat="1" applyFont="1" applyFill="1" applyBorder="1" applyAlignment="1">
      <alignment horizontal="right" vertical="center" wrapText="1" indent="1"/>
    </xf>
    <xf numFmtId="3" fontId="12" fillId="2" borderId="76" xfId="0" applyNumberFormat="1" applyFont="1" applyFill="1" applyBorder="1" applyAlignment="1">
      <alignment horizontal="right" vertical="center" wrapText="1" indent="1"/>
    </xf>
    <xf numFmtId="4" fontId="12" fillId="0" borderId="76" xfId="0" applyNumberFormat="1" applyFont="1" applyFill="1" applyBorder="1" applyAlignment="1">
      <alignment horizontal="right" vertical="center" wrapText="1" indent="1"/>
    </xf>
    <xf numFmtId="0" fontId="2" fillId="0" borderId="76" xfId="0" applyFont="1" applyFill="1" applyBorder="1" applyAlignment="1">
      <alignment horizontal="left" vertical="center" indent="1"/>
    </xf>
    <xf numFmtId="0" fontId="2" fillId="0" borderId="76" xfId="0" applyFont="1" applyFill="1" applyBorder="1" applyAlignment="1">
      <alignment horizontal="left" vertical="center" wrapText="1" indent="1"/>
    </xf>
    <xf numFmtId="0" fontId="12" fillId="2" borderId="76" xfId="0" applyFont="1" applyFill="1" applyBorder="1" applyAlignment="1">
      <alignment vertical="center" wrapText="1"/>
    </xf>
    <xf numFmtId="0" fontId="12" fillId="2" borderId="76" xfId="0" applyFont="1" applyFill="1" applyBorder="1" applyAlignment="1">
      <alignment horizontal="right" vertical="center" wrapText="1"/>
    </xf>
    <xf numFmtId="0" fontId="49" fillId="2" borderId="76" xfId="0" applyFont="1" applyFill="1" applyBorder="1" applyAlignment="1">
      <alignment horizontal="right" vertical="center" wrapText="1" indent="1"/>
    </xf>
    <xf numFmtId="173" fontId="49" fillId="2" borderId="76" xfId="0" applyNumberFormat="1" applyFont="1" applyFill="1" applyBorder="1" applyAlignment="1">
      <alignment horizontal="right" vertical="center" wrapText="1" indent="1"/>
    </xf>
    <xf numFmtId="0" fontId="4" fillId="0" borderId="76" xfId="0" applyFont="1" applyBorder="1" applyAlignment="1">
      <alignment horizontal="left" vertical="center"/>
    </xf>
    <xf numFmtId="0" fontId="12" fillId="2" borderId="76" xfId="0" applyFont="1" applyFill="1" applyBorder="1" applyAlignment="1">
      <alignment horizontal="left" vertical="center" wrapText="1" indent="1"/>
    </xf>
    <xf numFmtId="0" fontId="12" fillId="2" borderId="76" xfId="0" applyFont="1" applyFill="1" applyBorder="1" applyAlignment="1">
      <alignment horizontal="right" vertical="center" wrapText="1" indent="1"/>
    </xf>
    <xf numFmtId="173" fontId="12" fillId="2" borderId="76" xfId="0" applyNumberFormat="1" applyFont="1" applyFill="1" applyBorder="1" applyAlignment="1">
      <alignment horizontal="right" vertical="center" wrapText="1" indent="1"/>
    </xf>
    <xf numFmtId="4" fontId="12" fillId="2" borderId="76" xfId="0" applyNumberFormat="1" applyFont="1" applyFill="1" applyBorder="1" applyAlignment="1">
      <alignment horizontal="right" vertical="center" wrapText="1" indent="1"/>
    </xf>
    <xf numFmtId="0" fontId="3" fillId="0" borderId="76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vertical="center"/>
    </xf>
    <xf numFmtId="0" fontId="14" fillId="0" borderId="76" xfId="0" applyFont="1" applyFill="1" applyBorder="1" applyAlignment="1">
      <alignment horizontal="left" vertical="center" wrapText="1" indent="1"/>
    </xf>
    <xf numFmtId="0" fontId="14" fillId="0" borderId="76" xfId="0" applyFont="1" applyFill="1" applyBorder="1" applyAlignment="1">
      <alignment horizontal="right" vertical="center" wrapText="1" indent="1"/>
    </xf>
    <xf numFmtId="0" fontId="18" fillId="0" borderId="76" xfId="0" applyFont="1" applyFill="1" applyBorder="1" applyAlignment="1">
      <alignment horizontal="left" vertical="center"/>
    </xf>
    <xf numFmtId="0" fontId="18" fillId="0" borderId="76" xfId="0" applyFont="1" applyFill="1" applyBorder="1" applyAlignment="1">
      <alignment vertical="center" wrapText="1"/>
    </xf>
    <xf numFmtId="0" fontId="18" fillId="0" borderId="76" xfId="0" applyFont="1" applyFill="1" applyBorder="1" applyAlignment="1">
      <alignment horizontal="left" vertical="center" wrapText="1" indent="1"/>
    </xf>
    <xf numFmtId="0" fontId="18" fillId="0" borderId="76" xfId="0" applyFont="1" applyFill="1" applyBorder="1" applyAlignment="1">
      <alignment horizontal="right" vertical="center" wrapText="1" indent="1"/>
    </xf>
    <xf numFmtId="4" fontId="18" fillId="0" borderId="76" xfId="9" applyNumberFormat="1" applyFont="1" applyFill="1" applyBorder="1" applyAlignment="1">
      <alignment horizontal="right" vertical="center" indent="1"/>
    </xf>
    <xf numFmtId="4" fontId="18" fillId="0" borderId="76" xfId="0" applyNumberFormat="1" applyFont="1" applyFill="1" applyBorder="1" applyAlignment="1">
      <alignment horizontal="right" vertical="center" indent="1"/>
    </xf>
    <xf numFmtId="0" fontId="2" fillId="0" borderId="76" xfId="0" applyFont="1" applyFill="1" applyBorder="1" applyAlignment="1">
      <alignment horizontal="right" vertical="center"/>
    </xf>
    <xf numFmtId="3" fontId="2" fillId="0" borderId="76" xfId="0" applyNumberFormat="1" applyFont="1" applyFill="1" applyBorder="1" applyAlignment="1">
      <alignment horizontal="right" vertical="center" indent="1"/>
    </xf>
    <xf numFmtId="2" fontId="2" fillId="0" borderId="76" xfId="0" applyNumberFormat="1" applyFont="1" applyFill="1" applyBorder="1" applyAlignment="1">
      <alignment horizontal="right" vertical="center" indent="1"/>
    </xf>
    <xf numFmtId="4" fontId="2" fillId="0" borderId="76" xfId="9" applyNumberFormat="1" applyFont="1" applyFill="1" applyBorder="1" applyAlignment="1">
      <alignment horizontal="right" vertical="center" indent="1"/>
    </xf>
    <xf numFmtId="4" fontId="2" fillId="0" borderId="76" xfId="0" applyNumberFormat="1" applyFont="1" applyFill="1" applyBorder="1" applyAlignment="1">
      <alignment horizontal="right" vertical="center" indent="1"/>
    </xf>
    <xf numFmtId="0" fontId="17" fillId="0" borderId="76" xfId="0" applyFont="1" applyFill="1" applyBorder="1" applyAlignment="1">
      <alignment horizontal="left" vertical="center" wrapText="1" indent="1"/>
    </xf>
    <xf numFmtId="3" fontId="2" fillId="0" borderId="76" xfId="0" applyNumberFormat="1" applyFont="1" applyFill="1" applyBorder="1" applyAlignment="1">
      <alignment horizontal="right" vertical="center" wrapText="1" indent="1"/>
    </xf>
    <xf numFmtId="3" fontId="17" fillId="0" borderId="76" xfId="0" applyNumberFormat="1" applyFont="1" applyFill="1" applyBorder="1" applyAlignment="1">
      <alignment horizontal="right" vertical="center" indent="1"/>
    </xf>
    <xf numFmtId="2" fontId="17" fillId="0" borderId="76" xfId="0" applyNumberFormat="1" applyFont="1" applyFill="1" applyBorder="1" applyAlignment="1">
      <alignment horizontal="right" vertical="center" indent="1"/>
    </xf>
    <xf numFmtId="0" fontId="18" fillId="0" borderId="76" xfId="0" applyFont="1" applyFill="1" applyBorder="1" applyAlignment="1">
      <alignment horizontal="right" vertical="center" indent="1"/>
    </xf>
    <xf numFmtId="2" fontId="18" fillId="0" borderId="76" xfId="0" applyNumberFormat="1" applyFont="1" applyFill="1" applyBorder="1" applyAlignment="1">
      <alignment horizontal="right" vertical="center" indent="1"/>
    </xf>
    <xf numFmtId="0" fontId="9" fillId="2" borderId="76" xfId="0" applyFont="1" applyFill="1" applyBorder="1" applyAlignment="1">
      <alignment horizontal="left" vertical="center" wrapText="1" indent="2"/>
    </xf>
    <xf numFmtId="0" fontId="9" fillId="2" borderId="76" xfId="0" applyFont="1" applyFill="1" applyBorder="1" applyAlignment="1">
      <alignment horizontal="left" vertical="center" wrapText="1" indent="1"/>
    </xf>
    <xf numFmtId="0" fontId="9" fillId="2" borderId="76" xfId="0" applyFont="1" applyFill="1" applyBorder="1" applyAlignment="1">
      <alignment horizontal="right" vertical="center" wrapText="1" indent="1"/>
    </xf>
    <xf numFmtId="173" fontId="9" fillId="2" borderId="76" xfId="0" applyNumberFormat="1" applyFont="1" applyFill="1" applyBorder="1" applyAlignment="1">
      <alignment horizontal="right" vertical="center" wrapText="1" indent="1"/>
    </xf>
    <xf numFmtId="0" fontId="12" fillId="2" borderId="76" xfId="0" applyFont="1" applyFill="1" applyBorder="1" applyAlignment="1">
      <alignment horizontal="left" vertical="center" wrapText="1"/>
    </xf>
    <xf numFmtId="4" fontId="2" fillId="2" borderId="76" xfId="0" applyNumberFormat="1" applyFont="1" applyFill="1" applyBorder="1" applyAlignment="1">
      <alignment horizontal="right" vertical="center" wrapText="1" indent="1"/>
    </xf>
    <xf numFmtId="0" fontId="0" fillId="0" borderId="76" xfId="0" applyBorder="1" applyAlignment="1">
      <alignment horizontal="left" wrapText="1"/>
    </xf>
    <xf numFmtId="0" fontId="8" fillId="0" borderId="76" xfId="0" applyFont="1" applyFill="1" applyBorder="1" applyAlignment="1">
      <alignment vertical="center" wrapText="1"/>
    </xf>
    <xf numFmtId="0" fontId="20" fillId="0" borderId="76" xfId="0" applyFont="1" applyBorder="1" applyAlignment="1">
      <alignment horizontal="left" wrapText="1" indent="1"/>
    </xf>
    <xf numFmtId="0" fontId="20" fillId="0" borderId="76" xfId="0" applyFont="1" applyBorder="1" applyAlignment="1">
      <alignment horizontal="right" wrapText="1" indent="1"/>
    </xf>
    <xf numFmtId="3" fontId="12" fillId="0" borderId="76" xfId="0" applyNumberFormat="1" applyFont="1" applyBorder="1" applyAlignment="1">
      <alignment horizontal="right" vertical="center" wrapText="1" indent="1"/>
    </xf>
    <xf numFmtId="4" fontId="2" fillId="0" borderId="76" xfId="0" applyNumberFormat="1" applyFont="1" applyFill="1" applyBorder="1" applyAlignment="1">
      <alignment horizontal="right" vertical="center" wrapText="1" indent="1"/>
    </xf>
    <xf numFmtId="0" fontId="3" fillId="0" borderId="76" xfId="0" applyFont="1" applyBorder="1" applyAlignment="1">
      <alignment horizontal="left" vertical="center" wrapText="1"/>
    </xf>
    <xf numFmtId="0" fontId="2" fillId="0" borderId="76" xfId="0" applyFont="1" applyBorder="1" applyAlignment="1">
      <alignment vertical="center" wrapText="1"/>
    </xf>
    <xf numFmtId="3" fontId="2" fillId="0" borderId="76" xfId="0" applyNumberFormat="1" applyFont="1" applyBorder="1" applyAlignment="1">
      <alignment horizontal="right" vertical="center" wrapText="1" indent="1"/>
    </xf>
    <xf numFmtId="4" fontId="2" fillId="0" borderId="76" xfId="0" applyNumberFormat="1" applyFont="1" applyBorder="1" applyAlignment="1">
      <alignment horizontal="right" vertical="center" indent="1"/>
    </xf>
    <xf numFmtId="0" fontId="0" fillId="0" borderId="76" xfId="0" applyBorder="1" applyAlignment="1">
      <alignment horizontal="left"/>
    </xf>
    <xf numFmtId="0" fontId="4" fillId="0" borderId="76" xfId="0" applyFont="1" applyFill="1" applyBorder="1" applyAlignment="1">
      <alignment horizontal="left" vertical="center" wrapText="1" indent="2"/>
    </xf>
    <xf numFmtId="0" fontId="4" fillId="0" borderId="76" xfId="0" applyFont="1" applyFill="1" applyBorder="1" applyAlignment="1">
      <alignment horizontal="left" vertical="center" wrapText="1" indent="1"/>
    </xf>
    <xf numFmtId="0" fontId="4" fillId="0" borderId="76" xfId="0" applyFont="1" applyFill="1" applyBorder="1" applyAlignment="1">
      <alignment horizontal="right" vertical="center" wrapText="1" indent="1"/>
    </xf>
    <xf numFmtId="0" fontId="2" fillId="0" borderId="76" xfId="0" applyFont="1" applyFill="1" applyBorder="1" applyAlignment="1">
      <alignment horizontal="left" vertical="center" wrapText="1"/>
    </xf>
    <xf numFmtId="3" fontId="2" fillId="2" borderId="76" xfId="0" applyNumberFormat="1" applyFont="1" applyFill="1" applyBorder="1" applyAlignment="1">
      <alignment horizontal="right" vertical="center" wrapText="1" indent="1"/>
    </xf>
    <xf numFmtId="0" fontId="2" fillId="0" borderId="76" xfId="0" applyFont="1" applyFill="1" applyBorder="1" applyAlignment="1">
      <alignment horizontal="left" vertical="center" indent="2"/>
    </xf>
    <xf numFmtId="0" fontId="2" fillId="0" borderId="76" xfId="0" applyFont="1" applyFill="1" applyBorder="1" applyAlignment="1">
      <alignment vertical="center" wrapText="1"/>
    </xf>
    <xf numFmtId="0" fontId="2" fillId="2" borderId="76" xfId="0" applyFont="1" applyFill="1" applyBorder="1" applyAlignment="1">
      <alignment horizontal="right" vertical="center" indent="1"/>
    </xf>
    <xf numFmtId="0" fontId="2" fillId="0" borderId="76" xfId="0" applyFont="1" applyFill="1" applyBorder="1" applyAlignment="1">
      <alignment horizontal="center" vertical="center"/>
    </xf>
    <xf numFmtId="4" fontId="8" fillId="2" borderId="76" xfId="0" applyNumberFormat="1" applyFont="1" applyFill="1" applyBorder="1" applyAlignment="1">
      <alignment horizontal="right" vertical="center" indent="1"/>
    </xf>
    <xf numFmtId="0" fontId="16" fillId="2" borderId="76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center" vertical="center" wrapText="1"/>
    </xf>
    <xf numFmtId="3" fontId="18" fillId="0" borderId="76" xfId="0" applyNumberFormat="1" applyFont="1" applyFill="1" applyBorder="1" applyAlignment="1">
      <alignment horizontal="right" vertical="center" wrapText="1" indent="1"/>
    </xf>
    <xf numFmtId="4" fontId="18" fillId="0" borderId="76" xfId="0" applyNumberFormat="1" applyFont="1" applyFill="1" applyBorder="1" applyAlignment="1">
      <alignment horizontal="right" vertical="center" wrapText="1" indent="1"/>
    </xf>
    <xf numFmtId="2" fontId="18" fillId="0" borderId="88" xfId="11" applyNumberFormat="1" applyFont="1" applyFill="1" applyBorder="1" applyAlignment="1">
      <alignment horizontal="right" vertical="center" indent="1"/>
    </xf>
    <xf numFmtId="0" fontId="2" fillId="0" borderId="88" xfId="0" applyFont="1" applyFill="1" applyBorder="1" applyAlignment="1">
      <alignment horizontal="left" vertical="center"/>
    </xf>
    <xf numFmtId="3" fontId="2" fillId="0" borderId="88" xfId="0" applyNumberFormat="1" applyFont="1" applyFill="1" applyBorder="1" applyAlignment="1">
      <alignment horizontal="right" vertical="center" indent="1"/>
    </xf>
    <xf numFmtId="2" fontId="2" fillId="0" borderId="88" xfId="11" applyNumberFormat="1" applyFont="1" applyFill="1" applyBorder="1" applyAlignment="1">
      <alignment horizontal="right" vertical="center" indent="1"/>
    </xf>
    <xf numFmtId="0" fontId="2" fillId="0" borderId="76" xfId="0" applyFont="1" applyFill="1" applyBorder="1" applyAlignment="1">
      <alignment horizontal="left" vertical="center"/>
    </xf>
    <xf numFmtId="0" fontId="18" fillId="0" borderId="76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center" vertical="center" wrapText="1"/>
    </xf>
    <xf numFmtId="3" fontId="17" fillId="0" borderId="76" xfId="0" applyNumberFormat="1" applyFont="1" applyFill="1" applyBorder="1" applyAlignment="1">
      <alignment horizontal="right" vertical="center" wrapText="1" indent="1"/>
    </xf>
    <xf numFmtId="3" fontId="17" fillId="0" borderId="76" xfId="0" applyNumberFormat="1" applyFont="1" applyFill="1" applyBorder="1" applyAlignment="1">
      <alignment horizontal="right" vertical="center" wrapText="1" indent="3"/>
    </xf>
    <xf numFmtId="3" fontId="17" fillId="0" borderId="76" xfId="0" applyNumberFormat="1" applyFont="1" applyFill="1" applyBorder="1" applyAlignment="1">
      <alignment horizontal="right" vertical="center" wrapText="1" indent="2"/>
    </xf>
    <xf numFmtId="4" fontId="2" fillId="0" borderId="76" xfId="0" applyNumberFormat="1" applyFont="1" applyBorder="1" applyAlignment="1">
      <alignment horizontal="right" indent="1"/>
    </xf>
    <xf numFmtId="0" fontId="18" fillId="0" borderId="76" xfId="0" applyFont="1" applyFill="1" applyBorder="1" applyAlignment="1">
      <alignment horizontal="left" vertical="center" wrapText="1" indent="2"/>
    </xf>
    <xf numFmtId="4" fontId="18" fillId="0" borderId="76" xfId="0" applyNumberFormat="1" applyFont="1" applyBorder="1" applyAlignment="1">
      <alignment horizontal="right" vertical="center" wrapText="1" indent="1"/>
    </xf>
    <xf numFmtId="0" fontId="2" fillId="0" borderId="76" xfId="0" applyFont="1" applyFill="1" applyBorder="1" applyAlignment="1">
      <alignment horizontal="left" vertical="center" wrapText="1" indent="2"/>
    </xf>
    <xf numFmtId="4" fontId="2" fillId="0" borderId="76" xfId="0" applyNumberFormat="1" applyFont="1" applyBorder="1" applyAlignment="1">
      <alignment horizontal="right" vertical="center" wrapText="1" indent="1"/>
    </xf>
    <xf numFmtId="0" fontId="17" fillId="0" borderId="76" xfId="0" applyFont="1" applyBorder="1" applyAlignment="1">
      <alignment horizontal="left" indent="2"/>
    </xf>
    <xf numFmtId="0" fontId="17" fillId="0" borderId="76" xfId="0" applyFont="1" applyBorder="1" applyAlignment="1">
      <alignment horizontal="left" indent="1"/>
    </xf>
    <xf numFmtId="0" fontId="17" fillId="0" borderId="76" xfId="0" applyFont="1" applyBorder="1" applyAlignment="1">
      <alignment horizontal="right" indent="1"/>
    </xf>
    <xf numFmtId="2" fontId="17" fillId="0" borderId="76" xfId="0" applyNumberFormat="1" applyFont="1" applyBorder="1" applyAlignment="1">
      <alignment horizontal="right" indent="1"/>
    </xf>
    <xf numFmtId="3" fontId="18" fillId="2" borderId="76" xfId="0" applyNumberFormat="1" applyFont="1" applyFill="1" applyBorder="1" applyAlignment="1">
      <alignment horizontal="right" vertical="center" indent="1"/>
    </xf>
    <xf numFmtId="4" fontId="18" fillId="2" borderId="76" xfId="0" applyNumberFormat="1" applyFont="1" applyFill="1" applyBorder="1" applyAlignment="1">
      <alignment horizontal="right" vertical="center" indent="1"/>
    </xf>
    <xf numFmtId="1" fontId="2" fillId="0" borderId="76" xfId="0" applyNumberFormat="1" applyFont="1" applyBorder="1" applyAlignment="1">
      <alignment horizontal="right" vertical="center" wrapText="1" indent="1"/>
    </xf>
    <xf numFmtId="2" fontId="2" fillId="0" borderId="76" xfId="0" applyNumberFormat="1" applyFont="1" applyBorder="1" applyAlignment="1">
      <alignment horizontal="right" vertical="center" wrapText="1" indent="1"/>
    </xf>
    <xf numFmtId="0" fontId="18" fillId="0" borderId="76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right" indent="1"/>
    </xf>
    <xf numFmtId="3" fontId="2" fillId="0" borderId="76" xfId="0" applyNumberFormat="1" applyFont="1" applyBorder="1" applyAlignment="1">
      <alignment horizontal="right" indent="1"/>
    </xf>
    <xf numFmtId="4" fontId="18" fillId="0" borderId="76" xfId="0" applyNumberFormat="1" applyFont="1" applyBorder="1" applyAlignment="1">
      <alignment horizontal="right" vertical="center" indent="1"/>
    </xf>
    <xf numFmtId="2" fontId="18" fillId="0" borderId="76" xfId="0" applyNumberFormat="1" applyFont="1" applyBorder="1" applyAlignment="1">
      <alignment horizontal="right" vertical="center" indent="1"/>
    </xf>
    <xf numFmtId="0" fontId="2" fillId="0" borderId="76" xfId="0" applyFont="1" applyFill="1" applyBorder="1" applyAlignment="1">
      <alignment horizontal="center" vertical="center" wrapText="1"/>
    </xf>
    <xf numFmtId="1" fontId="2" fillId="0" borderId="76" xfId="0" applyNumberFormat="1" applyFont="1" applyBorder="1" applyAlignment="1">
      <alignment horizontal="right" vertical="center" indent="1"/>
    </xf>
    <xf numFmtId="2" fontId="2" fillId="0" borderId="76" xfId="0" applyNumberFormat="1" applyFont="1" applyBorder="1" applyAlignment="1">
      <alignment horizontal="right" vertical="center" indent="1"/>
    </xf>
    <xf numFmtId="3" fontId="2" fillId="0" borderId="76" xfId="0" applyNumberFormat="1" applyFont="1" applyBorder="1" applyAlignment="1">
      <alignment horizontal="right" vertical="center" indent="1"/>
    </xf>
    <xf numFmtId="0" fontId="3" fillId="2" borderId="76" xfId="0" applyFont="1" applyFill="1" applyBorder="1" applyAlignment="1">
      <alignment horizontal="left" vertical="center"/>
    </xf>
    <xf numFmtId="0" fontId="2" fillId="2" borderId="76" xfId="0" applyFont="1" applyFill="1" applyBorder="1" applyAlignment="1">
      <alignment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left" vertical="center" indent="1"/>
    </xf>
    <xf numFmtId="3" fontId="2" fillId="2" borderId="76" xfId="0" applyNumberFormat="1" applyFont="1" applyFill="1" applyBorder="1" applyAlignment="1">
      <alignment horizontal="right" vertical="center" indent="1"/>
    </xf>
    <xf numFmtId="1" fontId="2" fillId="2" borderId="76" xfId="0" applyNumberFormat="1" applyFont="1" applyFill="1" applyBorder="1" applyAlignment="1">
      <alignment horizontal="right" vertical="center" indent="1"/>
    </xf>
    <xf numFmtId="2" fontId="2" fillId="2" borderId="76" xfId="0" applyNumberFormat="1" applyFont="1" applyFill="1" applyBorder="1" applyAlignment="1">
      <alignment horizontal="right" vertical="center" indent="1"/>
    </xf>
    <xf numFmtId="0" fontId="4" fillId="0" borderId="76" xfId="0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left" vertical="center"/>
    </xf>
    <xf numFmtId="0" fontId="17" fillId="0" borderId="76" xfId="0" applyFont="1" applyFill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3" fontId="17" fillId="0" borderId="76" xfId="0" applyNumberFormat="1" applyFont="1" applyBorder="1" applyAlignment="1">
      <alignment horizontal="right" vertical="center" wrapText="1" indent="1"/>
    </xf>
    <xf numFmtId="1" fontId="17" fillId="0" borderId="76" xfId="0" applyNumberFormat="1" applyFont="1" applyBorder="1" applyAlignment="1">
      <alignment horizontal="right" vertical="center" wrapText="1" indent="1"/>
    </xf>
    <xf numFmtId="4" fontId="17" fillId="0" borderId="76" xfId="0" applyNumberFormat="1" applyFont="1" applyBorder="1" applyAlignment="1">
      <alignment horizontal="right" vertical="center" wrapText="1" indent="1"/>
    </xf>
    <xf numFmtId="0" fontId="12" fillId="0" borderId="76" xfId="0" applyFont="1" applyBorder="1" applyAlignment="1">
      <alignment vertical="center" wrapText="1"/>
    </xf>
    <xf numFmtId="4" fontId="12" fillId="0" borderId="76" xfId="0" applyNumberFormat="1" applyFont="1" applyBorder="1" applyAlignment="1">
      <alignment horizontal="right" vertical="center" wrapText="1" indent="1"/>
    </xf>
    <xf numFmtId="0" fontId="23" fillId="0" borderId="76" xfId="0" applyFont="1" applyFill="1" applyBorder="1" applyAlignment="1">
      <alignment horizontal="left" vertical="center" wrapText="1"/>
    </xf>
    <xf numFmtId="2" fontId="17" fillId="0" borderId="76" xfId="0" applyNumberFormat="1" applyFont="1" applyFill="1" applyBorder="1" applyAlignment="1">
      <alignment horizontal="right" vertical="center" wrapText="1" indent="1"/>
    </xf>
    <xf numFmtId="0" fontId="12" fillId="2" borderId="76" xfId="0" applyFont="1" applyFill="1" applyBorder="1" applyAlignment="1">
      <alignment horizontal="center" vertical="center" wrapText="1"/>
    </xf>
    <xf numFmtId="2" fontId="12" fillId="2" borderId="76" xfId="0" applyNumberFormat="1" applyFont="1" applyFill="1" applyBorder="1" applyAlignment="1">
      <alignment horizontal="right" vertical="center" wrapText="1" indent="1"/>
    </xf>
    <xf numFmtId="3" fontId="4" fillId="2" borderId="76" xfId="0" applyNumberFormat="1" applyFont="1" applyFill="1" applyBorder="1" applyAlignment="1">
      <alignment horizontal="right" vertical="center" wrapText="1" indent="1"/>
    </xf>
    <xf numFmtId="4" fontId="4" fillId="2" borderId="76" xfId="0" applyNumberFormat="1" applyFont="1" applyFill="1" applyBorder="1" applyAlignment="1">
      <alignment horizontal="right" vertical="center" wrapText="1" indent="1"/>
    </xf>
    <xf numFmtId="2" fontId="18" fillId="2" borderId="76" xfId="0" applyNumberFormat="1" applyFont="1" applyFill="1" applyBorder="1" applyAlignment="1">
      <alignment horizontal="right" vertical="center" indent="1"/>
    </xf>
    <xf numFmtId="3" fontId="2" fillId="2" borderId="76" xfId="0" applyNumberFormat="1" applyFont="1" applyFill="1" applyBorder="1" applyAlignment="1">
      <alignment horizontal="right" indent="1"/>
    </xf>
    <xf numFmtId="4" fontId="2" fillId="2" borderId="76" xfId="0" applyNumberFormat="1" applyFont="1" applyFill="1" applyBorder="1" applyAlignment="1">
      <alignment horizontal="right" vertical="center" indent="1"/>
    </xf>
    <xf numFmtId="2" fontId="0" fillId="2" borderId="76" xfId="0" applyNumberFormat="1" applyFont="1" applyFill="1" applyBorder="1" applyAlignment="1">
      <alignment horizontal="right" indent="1"/>
    </xf>
    <xf numFmtId="2" fontId="0" fillId="2" borderId="76" xfId="0" applyNumberFormat="1" applyFont="1" applyFill="1" applyBorder="1" applyAlignment="1">
      <alignment horizontal="right" vertical="center" indent="1"/>
    </xf>
    <xf numFmtId="2" fontId="2" fillId="2" borderId="76" xfId="0" applyNumberFormat="1" applyFont="1" applyFill="1" applyBorder="1" applyAlignment="1">
      <alignment horizontal="right" indent="1"/>
    </xf>
    <xf numFmtId="4" fontId="2" fillId="2" borderId="76" xfId="0" applyNumberFormat="1" applyFont="1" applyFill="1" applyBorder="1" applyAlignment="1">
      <alignment horizontal="right" indent="1"/>
    </xf>
    <xf numFmtId="0" fontId="3" fillId="0" borderId="76" xfId="0" applyFont="1" applyBorder="1" applyAlignment="1">
      <alignment horizontal="left" vertical="center"/>
    </xf>
    <xf numFmtId="0" fontId="18" fillId="2" borderId="76" xfId="0" applyFont="1" applyFill="1" applyBorder="1" applyAlignment="1">
      <alignment vertical="center"/>
    </xf>
    <xf numFmtId="0" fontId="2" fillId="2" borderId="76" xfId="0" applyFont="1" applyFill="1" applyBorder="1" applyAlignment="1">
      <alignment vertical="center"/>
    </xf>
    <xf numFmtId="3" fontId="2" fillId="2" borderId="69" xfId="0" applyNumberFormat="1" applyFont="1" applyFill="1" applyBorder="1" applyAlignment="1">
      <alignment horizontal="right" vertical="center" indent="1"/>
    </xf>
    <xf numFmtId="0" fontId="2" fillId="2" borderId="76" xfId="0" applyFont="1" applyFill="1" applyBorder="1" applyAlignment="1">
      <alignment wrapText="1"/>
    </xf>
    <xf numFmtId="0" fontId="12" fillId="2" borderId="76" xfId="0" applyFont="1" applyFill="1" applyBorder="1" applyAlignment="1">
      <alignment vertical="center"/>
    </xf>
    <xf numFmtId="0" fontId="8" fillId="0" borderId="76" xfId="0" applyFont="1" applyBorder="1" applyAlignment="1">
      <alignment horizontal="left" vertical="center"/>
    </xf>
    <xf numFmtId="0" fontId="8" fillId="2" borderId="76" xfId="0" applyFont="1" applyFill="1" applyBorder="1" applyAlignment="1">
      <alignment vertical="center"/>
    </xf>
    <xf numFmtId="0" fontId="17" fillId="2" borderId="76" xfId="0" applyFont="1" applyFill="1" applyBorder="1" applyAlignment="1">
      <alignment horizontal="center"/>
    </xf>
    <xf numFmtId="0" fontId="17" fillId="2" borderId="76" xfId="0" applyFont="1" applyFill="1" applyBorder="1" applyAlignment="1">
      <alignment horizontal="left" indent="1"/>
    </xf>
    <xf numFmtId="0" fontId="17" fillId="2" borderId="76" xfId="0" applyFont="1" applyFill="1" applyBorder="1" applyAlignment="1">
      <alignment horizontal="right" indent="1"/>
    </xf>
    <xf numFmtId="3" fontId="18" fillId="2" borderId="71" xfId="0" applyNumberFormat="1" applyFont="1" applyFill="1" applyBorder="1" applyAlignment="1">
      <alignment horizontal="right" vertical="center" indent="1"/>
    </xf>
    <xf numFmtId="3" fontId="8" fillId="2" borderId="0" xfId="0" applyNumberFormat="1" applyFont="1" applyFill="1" applyBorder="1" applyAlignment="1">
      <alignment horizontal="right" vertical="center" indent="1"/>
    </xf>
    <xf numFmtId="2" fontId="8" fillId="2" borderId="76" xfId="0" applyNumberFormat="1" applyFont="1" applyFill="1" applyBorder="1" applyAlignment="1">
      <alignment horizontal="right" vertical="center" indent="1"/>
    </xf>
    <xf numFmtId="0" fontId="2" fillId="2" borderId="76" xfId="0" applyFont="1" applyFill="1" applyBorder="1"/>
    <xf numFmtId="0" fontId="2" fillId="2" borderId="76" xfId="0" applyFont="1" applyFill="1" applyBorder="1" applyAlignment="1">
      <alignment horizontal="left" indent="1"/>
    </xf>
    <xf numFmtId="0" fontId="2" fillId="2" borderId="76" xfId="0" applyFont="1" applyFill="1" applyBorder="1" applyAlignment="1">
      <alignment horizontal="right" indent="1"/>
    </xf>
    <xf numFmtId="0" fontId="2" fillId="2" borderId="0" xfId="0" applyFont="1" applyFill="1" applyBorder="1" applyAlignment="1">
      <alignment horizontal="right" indent="1"/>
    </xf>
    <xf numFmtId="0" fontId="12" fillId="2" borderId="76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left" vertical="center" indent="1"/>
    </xf>
    <xf numFmtId="2" fontId="12" fillId="2" borderId="76" xfId="0" applyNumberFormat="1" applyFont="1" applyFill="1" applyBorder="1" applyAlignment="1">
      <alignment horizontal="right" vertical="center" indent="1"/>
    </xf>
    <xf numFmtId="0" fontId="12" fillId="0" borderId="76" xfId="0" applyFont="1" applyBorder="1" applyAlignment="1">
      <alignment horizontal="center" vertical="center"/>
    </xf>
    <xf numFmtId="0" fontId="12" fillId="0" borderId="76" xfId="0" applyFont="1" applyBorder="1" applyAlignment="1">
      <alignment horizontal="left" vertical="center" indent="1"/>
    </xf>
    <xf numFmtId="0" fontId="12" fillId="0" borderId="76" xfId="0" applyFont="1" applyFill="1" applyBorder="1" applyAlignment="1">
      <alignment horizontal="right" vertical="center" wrapText="1" indent="1"/>
    </xf>
    <xf numFmtId="2" fontId="12" fillId="0" borderId="76" xfId="0" applyNumberFormat="1" applyFont="1" applyBorder="1" applyAlignment="1">
      <alignment horizontal="right" vertical="center" indent="1"/>
    </xf>
    <xf numFmtId="0" fontId="12" fillId="0" borderId="76" xfId="0" applyFont="1" applyBorder="1" applyAlignment="1">
      <alignment horizontal="right" vertical="center" indent="1"/>
    </xf>
    <xf numFmtId="3" fontId="2" fillId="0" borderId="76" xfId="0" applyNumberFormat="1" applyFont="1" applyFill="1" applyBorder="1" applyAlignment="1">
      <alignment horizontal="left" vertical="center" wrapText="1" indent="1"/>
    </xf>
    <xf numFmtId="0" fontId="17" fillId="0" borderId="76" xfId="0" applyFont="1" applyBorder="1" applyAlignment="1">
      <alignment horizontal="left"/>
    </xf>
    <xf numFmtId="4" fontId="17" fillId="0" borderId="76" xfId="0" applyNumberFormat="1" applyFont="1" applyBorder="1" applyAlignment="1">
      <alignment horizontal="right" indent="1"/>
    </xf>
    <xf numFmtId="4" fontId="2" fillId="0" borderId="76" xfId="11" applyNumberFormat="1" applyFont="1" applyFill="1" applyBorder="1" applyAlignment="1">
      <alignment horizontal="right" vertical="center" wrapText="1" indent="1"/>
    </xf>
    <xf numFmtId="4" fontId="2" fillId="2" borderId="76" xfId="11" applyNumberFormat="1" applyFont="1" applyFill="1" applyBorder="1" applyAlignment="1">
      <alignment horizontal="right" vertical="center" wrapText="1" indent="1"/>
    </xf>
    <xf numFmtId="0" fontId="2" fillId="0" borderId="76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/>
    </xf>
    <xf numFmtId="0" fontId="18" fillId="0" borderId="89" xfId="0" applyFont="1" applyFill="1" applyBorder="1" applyAlignment="1">
      <alignment horizontal="left" vertical="center" wrapText="1"/>
    </xf>
    <xf numFmtId="0" fontId="12" fillId="2" borderId="76" xfId="7" applyFont="1" applyFill="1" applyBorder="1" applyAlignment="1">
      <alignment vertical="center" wrapText="1"/>
    </xf>
    <xf numFmtId="4" fontId="12" fillId="0" borderId="76" xfId="11" applyNumberFormat="1" applyFont="1" applyFill="1" applyBorder="1" applyAlignment="1">
      <alignment horizontal="right" vertical="center" wrapText="1" indent="1"/>
    </xf>
    <xf numFmtId="0" fontId="2" fillId="0" borderId="76" xfId="0" applyFont="1" applyBorder="1" applyAlignment="1">
      <alignment horizontal="left" vertical="center"/>
    </xf>
    <xf numFmtId="0" fontId="8" fillId="0" borderId="76" xfId="0" applyFont="1" applyBorder="1" applyAlignment="1">
      <alignment vertical="center"/>
    </xf>
    <xf numFmtId="0" fontId="4" fillId="2" borderId="88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12" fillId="0" borderId="76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3" fillId="0" borderId="76" xfId="0" applyFont="1" applyBorder="1" applyAlignment="1">
      <alignment horizontal="left" indent="1"/>
    </xf>
    <xf numFmtId="0" fontId="3" fillId="0" borderId="76" xfId="0" applyFont="1" applyBorder="1" applyAlignment="1">
      <alignment horizontal="right" indent="1"/>
    </xf>
    <xf numFmtId="0" fontId="18" fillId="0" borderId="76" xfId="0" applyFont="1" applyBorder="1" applyAlignment="1">
      <alignment vertical="center"/>
    </xf>
    <xf numFmtId="0" fontId="18" fillId="0" borderId="76" xfId="0" applyFont="1" applyBorder="1" applyAlignment="1">
      <alignment horizontal="left" indent="1"/>
    </xf>
    <xf numFmtId="0" fontId="18" fillId="0" borderId="76" xfId="0" applyFont="1" applyBorder="1" applyAlignment="1">
      <alignment horizontal="right" indent="1"/>
    </xf>
    <xf numFmtId="0" fontId="2" fillId="0" borderId="76" xfId="0" applyFont="1" applyFill="1" applyBorder="1" applyAlignment="1">
      <alignment horizontal="justify" vertical="center" wrapText="1"/>
    </xf>
    <xf numFmtId="0" fontId="2" fillId="0" borderId="76" xfId="0" applyFont="1" applyBorder="1" applyAlignment="1">
      <alignment horizontal="right" vertical="center" indent="1"/>
    </xf>
    <xf numFmtId="0" fontId="17" fillId="0" borderId="76" xfId="0" applyFont="1" applyBorder="1" applyAlignment="1">
      <alignment horizontal="right" indent="2"/>
    </xf>
    <xf numFmtId="0" fontId="2" fillId="0" borderId="76" xfId="0" applyFont="1" applyBorder="1" applyAlignment="1">
      <alignment horizontal="center"/>
    </xf>
    <xf numFmtId="0" fontId="2" fillId="0" borderId="76" xfId="0" applyFont="1" applyBorder="1" applyAlignment="1">
      <alignment horizontal="left" indent="1"/>
    </xf>
    <xf numFmtId="0" fontId="18" fillId="0" borderId="76" xfId="7" applyFont="1" applyFill="1" applyBorder="1" applyAlignment="1">
      <alignment vertical="center" wrapText="1"/>
    </xf>
    <xf numFmtId="0" fontId="18" fillId="0" borderId="76" xfId="0" applyFont="1" applyBorder="1" applyAlignment="1">
      <alignment horizontal="right" vertical="center" indent="1"/>
    </xf>
    <xf numFmtId="0" fontId="2" fillId="0" borderId="76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 indent="1"/>
    </xf>
    <xf numFmtId="2" fontId="2" fillId="0" borderId="76" xfId="0" applyNumberFormat="1" applyFont="1" applyFill="1" applyBorder="1" applyAlignment="1">
      <alignment horizontal="right" vertical="center"/>
    </xf>
    <xf numFmtId="0" fontId="2" fillId="0" borderId="76" xfId="0" applyFont="1" applyBorder="1" applyAlignment="1">
      <alignment horizontal="left" wrapText="1" indent="1"/>
    </xf>
    <xf numFmtId="2" fontId="12" fillId="0" borderId="76" xfId="0" applyNumberFormat="1" applyFont="1" applyFill="1" applyBorder="1" applyAlignment="1">
      <alignment horizontal="right" vertical="center" wrapText="1" indent="1"/>
    </xf>
    <xf numFmtId="0" fontId="12" fillId="0" borderId="76" xfId="7" applyFont="1" applyFill="1" applyBorder="1" applyAlignment="1">
      <alignment vertical="center" wrapText="1"/>
    </xf>
    <xf numFmtId="0" fontId="9" fillId="0" borderId="76" xfId="0" applyFont="1" applyFill="1" applyBorder="1" applyAlignment="1">
      <alignment horizontal="left" vertical="center"/>
    </xf>
    <xf numFmtId="0" fontId="12" fillId="0" borderId="89" xfId="7" applyFont="1" applyFill="1" applyBorder="1" applyAlignment="1">
      <alignment vertical="center" wrapText="1"/>
    </xf>
    <xf numFmtId="0" fontId="8" fillId="0" borderId="76" xfId="0" applyFont="1" applyBorder="1" applyAlignment="1">
      <alignment horizontal="right" vertical="center" indent="1"/>
    </xf>
    <xf numFmtId="0" fontId="2" fillId="0" borderId="76" xfId="0" applyFont="1" applyFill="1" applyBorder="1" applyAlignment="1">
      <alignment horizontal="right" vertical="center" wrapText="1" indent="2"/>
    </xf>
    <xf numFmtId="3" fontId="12" fillId="0" borderId="76" xfId="0" applyNumberFormat="1" applyFont="1" applyFill="1" applyBorder="1" applyAlignment="1">
      <alignment horizontal="right" vertical="center" wrapText="1" indent="2"/>
    </xf>
    <xf numFmtId="0" fontId="12" fillId="0" borderId="76" xfId="7" applyFont="1" applyFill="1" applyBorder="1" applyAlignment="1">
      <alignment horizontal="left" vertical="center" wrapText="1"/>
    </xf>
    <xf numFmtId="0" fontId="27" fillId="2" borderId="76" xfId="0" applyFont="1" applyFill="1" applyBorder="1" applyAlignment="1">
      <alignment horizontal="left" vertical="center" wrapText="1" indent="2"/>
    </xf>
    <xf numFmtId="0" fontId="27" fillId="2" borderId="76" xfId="0" applyFont="1" applyFill="1" applyBorder="1" applyAlignment="1">
      <alignment horizontal="left" vertical="center" wrapText="1" indent="1"/>
    </xf>
    <xf numFmtId="3" fontId="27" fillId="2" borderId="76" xfId="0" applyNumberFormat="1" applyFont="1" applyFill="1" applyBorder="1" applyAlignment="1">
      <alignment horizontal="right" vertical="center" wrapText="1" indent="1"/>
    </xf>
    <xf numFmtId="0" fontId="18" fillId="2" borderId="69" xfId="0" applyFont="1" applyFill="1" applyBorder="1" applyAlignment="1">
      <alignment vertical="center"/>
    </xf>
    <xf numFmtId="0" fontId="17" fillId="2" borderId="76" xfId="0" applyFont="1" applyFill="1" applyBorder="1" applyAlignment="1">
      <alignment horizontal="left" vertical="center" wrapText="1" indent="2"/>
    </xf>
    <xf numFmtId="0" fontId="17" fillId="2" borderId="76" xfId="0" applyFont="1" applyFill="1" applyBorder="1" applyAlignment="1">
      <alignment horizontal="left" vertical="center" wrapText="1" indent="1"/>
    </xf>
    <xf numFmtId="3" fontId="17" fillId="2" borderId="76" xfId="0" applyNumberFormat="1" applyFont="1" applyFill="1" applyBorder="1" applyAlignment="1">
      <alignment horizontal="right" vertical="center" wrapText="1" indent="1"/>
    </xf>
    <xf numFmtId="3" fontId="12" fillId="2" borderId="88" xfId="1" applyNumberFormat="1" applyFont="1" applyFill="1" applyBorder="1" applyAlignment="1">
      <alignment horizontal="right" vertical="center" indent="1"/>
    </xf>
    <xf numFmtId="0" fontId="2" fillId="0" borderId="76" xfId="0" applyFont="1" applyBorder="1"/>
    <xf numFmtId="43" fontId="2" fillId="0" borderId="76" xfId="0" applyNumberFormat="1" applyFont="1" applyBorder="1" applyAlignment="1">
      <alignment horizontal="right" vertical="center"/>
    </xf>
    <xf numFmtId="2" fontId="2" fillId="0" borderId="76" xfId="0" applyNumberFormat="1" applyFont="1" applyBorder="1" applyAlignment="1">
      <alignment horizontal="right" vertical="center"/>
    </xf>
    <xf numFmtId="9" fontId="2" fillId="0" borderId="76" xfId="11" applyFont="1" applyBorder="1" applyAlignment="1">
      <alignment horizontal="right" vertical="center"/>
    </xf>
    <xf numFmtId="3" fontId="11" fillId="0" borderId="76" xfId="0" applyNumberFormat="1" applyFont="1" applyBorder="1" applyAlignment="1">
      <alignment horizontal="right" vertical="center" indent="1"/>
    </xf>
    <xf numFmtId="4" fontId="12" fillId="0" borderId="76" xfId="9" applyNumberFormat="1" applyFont="1" applyBorder="1" applyAlignment="1">
      <alignment horizontal="right" vertical="center" indent="1"/>
    </xf>
    <xf numFmtId="4" fontId="2" fillId="0" borderId="76" xfId="11" applyNumberFormat="1" applyFont="1" applyFill="1" applyBorder="1" applyAlignment="1">
      <alignment horizontal="right" vertical="center" indent="1"/>
    </xf>
    <xf numFmtId="0" fontId="4" fillId="7" borderId="90" xfId="0" applyFont="1" applyFill="1" applyBorder="1" applyAlignment="1">
      <alignment horizontal="center" vertical="center" wrapText="1"/>
    </xf>
    <xf numFmtId="0" fontId="4" fillId="7" borderId="90" xfId="0" applyFont="1" applyFill="1" applyBorder="1" applyAlignment="1">
      <alignment horizontal="right" vertical="center" wrapText="1" indent="1"/>
    </xf>
    <xf numFmtId="0" fontId="2" fillId="0" borderId="91" xfId="0" applyFont="1" applyBorder="1" applyAlignment="1">
      <alignment horizontal="left"/>
    </xf>
    <xf numFmtId="0" fontId="2" fillId="0" borderId="92" xfId="0" applyFont="1" applyBorder="1"/>
    <xf numFmtId="3" fontId="23" fillId="2" borderId="90" xfId="0" applyNumberFormat="1" applyFont="1" applyFill="1" applyBorder="1" applyAlignment="1">
      <alignment horizontal="right" vertical="center" indent="1"/>
    </xf>
    <xf numFmtId="4" fontId="23" fillId="2" borderId="90" xfId="0" applyNumberFormat="1" applyFont="1" applyFill="1" applyBorder="1" applyAlignment="1">
      <alignment horizontal="left" vertical="center" indent="1"/>
    </xf>
    <xf numFmtId="4" fontId="23" fillId="0" borderId="90" xfId="0" applyNumberFormat="1" applyFont="1" applyFill="1" applyBorder="1" applyAlignment="1">
      <alignment horizontal="right" vertical="center" wrapText="1" indent="1"/>
    </xf>
    <xf numFmtId="0" fontId="4" fillId="0" borderId="90" xfId="0" applyFont="1" applyFill="1" applyBorder="1" applyAlignment="1">
      <alignment horizontal="left" vertical="center" wrapText="1" indent="1"/>
    </xf>
    <xf numFmtId="0" fontId="4" fillId="0" borderId="90" xfId="0" applyFont="1" applyFill="1" applyBorder="1" applyAlignment="1">
      <alignment horizontal="right" vertical="center" wrapText="1" indent="1"/>
    </xf>
    <xf numFmtId="3" fontId="8" fillId="0" borderId="88" xfId="0" applyNumberFormat="1" applyFont="1" applyFill="1" applyBorder="1" applyAlignment="1">
      <alignment horizontal="right" vertical="center" wrapText="1" indent="1"/>
    </xf>
    <xf numFmtId="4" fontId="8" fillId="0" borderId="90" xfId="0" applyNumberFormat="1" applyFont="1" applyFill="1" applyBorder="1" applyAlignment="1">
      <alignment horizontal="right" vertical="center" wrapText="1" indent="1"/>
    </xf>
    <xf numFmtId="0" fontId="4" fillId="2" borderId="90" xfId="0" applyFont="1" applyFill="1" applyBorder="1" applyAlignment="1">
      <alignment horizontal="left" vertical="center"/>
    </xf>
    <xf numFmtId="0" fontId="4" fillId="2" borderId="90" xfId="0" applyFont="1" applyFill="1" applyBorder="1" applyAlignment="1">
      <alignment horizontal="left" vertical="center" wrapText="1"/>
    </xf>
    <xf numFmtId="0" fontId="4" fillId="2" borderId="90" xfId="0" applyFont="1" applyFill="1" applyBorder="1" applyAlignment="1">
      <alignment horizontal="left" vertical="center" wrapText="1" indent="1"/>
    </xf>
    <xf numFmtId="3" fontId="4" fillId="2" borderId="90" xfId="0" applyNumberFormat="1" applyFont="1" applyFill="1" applyBorder="1" applyAlignment="1">
      <alignment horizontal="right" vertical="center" wrapText="1" indent="1"/>
    </xf>
    <xf numFmtId="3" fontId="4" fillId="2" borderId="90" xfId="0" applyNumberFormat="1" applyFont="1" applyFill="1" applyBorder="1" applyAlignment="1">
      <alignment horizontal="right" vertical="center" indent="1"/>
    </xf>
    <xf numFmtId="4" fontId="4" fillId="2" borderId="90" xfId="0" applyNumberFormat="1" applyFont="1" applyFill="1" applyBorder="1" applyAlignment="1">
      <alignment horizontal="right" vertical="center" indent="1"/>
    </xf>
    <xf numFmtId="0" fontId="12" fillId="2" borderId="90" xfId="0" applyFont="1" applyFill="1" applyBorder="1" applyAlignment="1">
      <alignment horizontal="right" vertical="center"/>
    </xf>
    <xf numFmtId="0" fontId="12" fillId="2" borderId="90" xfId="0" applyFont="1" applyFill="1" applyBorder="1" applyAlignment="1">
      <alignment vertical="center" wrapText="1"/>
    </xf>
    <xf numFmtId="0" fontId="12" fillId="2" borderId="90" xfId="0" applyFont="1" applyFill="1" applyBorder="1" applyAlignment="1">
      <alignment horizontal="left" vertical="center" wrapText="1" indent="1"/>
    </xf>
    <xf numFmtId="3" fontId="12" fillId="2" borderId="90" xfId="0" applyNumberFormat="1" applyFont="1" applyFill="1" applyBorder="1" applyAlignment="1">
      <alignment horizontal="right" vertical="center" wrapText="1" indent="1"/>
    </xf>
    <xf numFmtId="4" fontId="12" fillId="2" borderId="90" xfId="0" applyNumberFormat="1" applyFont="1" applyFill="1" applyBorder="1" applyAlignment="1">
      <alignment horizontal="right" vertical="center" indent="1"/>
    </xf>
    <xf numFmtId="3" fontId="12" fillId="2" borderId="90" xfId="0" applyNumberFormat="1" applyFont="1" applyFill="1" applyBorder="1" applyAlignment="1">
      <alignment horizontal="right" vertical="center" indent="1"/>
    </xf>
    <xf numFmtId="0" fontId="4" fillId="2" borderId="90" xfId="0" applyFont="1" applyFill="1" applyBorder="1" applyAlignment="1">
      <alignment vertical="center" wrapText="1"/>
    </xf>
    <xf numFmtId="0" fontId="12" fillId="0" borderId="90" xfId="0" applyFont="1" applyFill="1" applyBorder="1" applyAlignment="1">
      <alignment horizontal="right" vertical="center"/>
    </xf>
    <xf numFmtId="0" fontId="12" fillId="0" borderId="90" xfId="0" applyFont="1" applyFill="1" applyBorder="1" applyAlignment="1">
      <alignment vertical="center" wrapText="1"/>
    </xf>
    <xf numFmtId="0" fontId="12" fillId="0" borderId="90" xfId="0" applyFont="1" applyFill="1" applyBorder="1" applyAlignment="1">
      <alignment horizontal="left" vertical="center" wrapText="1" indent="1"/>
    </xf>
    <xf numFmtId="3" fontId="12" fillId="0" borderId="90" xfId="0" applyNumberFormat="1" applyFont="1" applyFill="1" applyBorder="1" applyAlignment="1">
      <alignment horizontal="right" vertical="center" wrapText="1" indent="1"/>
    </xf>
    <xf numFmtId="3" fontId="12" fillId="0" borderId="90" xfId="0" applyNumberFormat="1" applyFont="1" applyBorder="1" applyAlignment="1">
      <alignment horizontal="right" vertical="center" indent="1"/>
    </xf>
    <xf numFmtId="4" fontId="12" fillId="0" borderId="90" xfId="0" applyNumberFormat="1" applyFont="1" applyBorder="1" applyAlignment="1">
      <alignment horizontal="right" vertical="center" indent="1"/>
    </xf>
    <xf numFmtId="0" fontId="4" fillId="0" borderId="90" xfId="0" applyFont="1" applyFill="1" applyBorder="1" applyAlignment="1">
      <alignment horizontal="left" vertical="center"/>
    </xf>
    <xf numFmtId="0" fontId="4" fillId="0" borderId="90" xfId="0" applyFont="1" applyFill="1" applyBorder="1" applyAlignment="1">
      <alignment vertical="center" wrapText="1"/>
    </xf>
    <xf numFmtId="3" fontId="4" fillId="0" borderId="90" xfId="0" applyNumberFormat="1" applyFont="1" applyFill="1" applyBorder="1" applyAlignment="1">
      <alignment horizontal="right" vertical="center" wrapText="1" indent="1"/>
    </xf>
    <xf numFmtId="3" fontId="4" fillId="0" borderId="90" xfId="0" applyNumberFormat="1" applyFont="1" applyBorder="1" applyAlignment="1">
      <alignment horizontal="right" vertical="center" indent="1"/>
    </xf>
    <xf numFmtId="4" fontId="4" fillId="0" borderId="90" xfId="0" applyNumberFormat="1" applyFont="1" applyBorder="1" applyAlignment="1">
      <alignment horizontal="right" vertical="center" indent="1"/>
    </xf>
    <xf numFmtId="0" fontId="4" fillId="0" borderId="90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2" fillId="0" borderId="90" xfId="0" applyFont="1" applyBorder="1" applyAlignment="1">
      <alignment horizontal="center"/>
    </xf>
    <xf numFmtId="0" fontId="2" fillId="0" borderId="90" xfId="0" applyFont="1" applyBorder="1" applyAlignment="1">
      <alignment horizontal="right" indent="1"/>
    </xf>
    <xf numFmtId="0" fontId="2" fillId="0" borderId="90" xfId="0" applyFont="1" applyBorder="1" applyAlignment="1">
      <alignment horizontal="left" indent="1"/>
    </xf>
    <xf numFmtId="0" fontId="2" fillId="0" borderId="90" xfId="0" applyFont="1" applyBorder="1"/>
    <xf numFmtId="3" fontId="8" fillId="0" borderId="90" xfId="0" applyNumberFormat="1" applyFont="1" applyBorder="1" applyAlignment="1">
      <alignment horizontal="right" vertical="center" indent="1"/>
    </xf>
    <xf numFmtId="4" fontId="8" fillId="0" borderId="90" xfId="0" applyNumberFormat="1" applyFont="1" applyBorder="1" applyAlignment="1">
      <alignment horizontal="right" vertical="center" indent="1"/>
    </xf>
    <xf numFmtId="4" fontId="8" fillId="2" borderId="90" xfId="0" applyNumberFormat="1" applyFont="1" applyFill="1" applyBorder="1" applyAlignment="1">
      <alignment horizontal="right" vertical="center" wrapText="1" indent="1"/>
    </xf>
    <xf numFmtId="0" fontId="18" fillId="2" borderId="90" xfId="0" applyFont="1" applyFill="1" applyBorder="1" applyAlignment="1">
      <alignment horizontal="left" vertical="center"/>
    </xf>
    <xf numFmtId="0" fontId="18" fillId="2" borderId="90" xfId="0" applyFont="1" applyFill="1" applyBorder="1" applyAlignment="1">
      <alignment horizontal="left" vertical="center" wrapText="1"/>
    </xf>
    <xf numFmtId="0" fontId="2" fillId="2" borderId="90" xfId="0" applyFont="1" applyFill="1" applyBorder="1" applyAlignment="1">
      <alignment horizontal="left" vertical="center" wrapText="1" indent="1"/>
    </xf>
    <xf numFmtId="0" fontId="2" fillId="2" borderId="90" xfId="0" applyFont="1" applyFill="1" applyBorder="1" applyAlignment="1">
      <alignment horizontal="right" vertical="center" indent="1"/>
    </xf>
    <xf numFmtId="2" fontId="2" fillId="2" borderId="90" xfId="0" applyNumberFormat="1" applyFont="1" applyFill="1" applyBorder="1" applyAlignment="1">
      <alignment horizontal="right" vertical="center" indent="1"/>
    </xf>
    <xf numFmtId="4" fontId="2" fillId="2" borderId="90" xfId="0" applyNumberFormat="1" applyFont="1" applyFill="1" applyBorder="1" applyAlignment="1">
      <alignment horizontal="right" vertical="center" indent="1"/>
    </xf>
    <xf numFmtId="3" fontId="18" fillId="2" borderId="90" xfId="0" applyNumberFormat="1" applyFont="1" applyFill="1" applyBorder="1" applyAlignment="1">
      <alignment horizontal="right" vertical="center" wrapText="1" indent="1"/>
    </xf>
    <xf numFmtId="4" fontId="18" fillId="2" borderId="90" xfId="0" applyNumberFormat="1" applyFont="1" applyFill="1" applyBorder="1" applyAlignment="1">
      <alignment horizontal="right" vertical="center" wrapText="1" indent="1"/>
    </xf>
    <xf numFmtId="0" fontId="2" fillId="2" borderId="90" xfId="0" applyFont="1" applyFill="1" applyBorder="1" applyAlignment="1">
      <alignment horizontal="right" vertical="center"/>
    </xf>
    <xf numFmtId="0" fontId="2" fillId="2" borderId="90" xfId="0" applyFont="1" applyFill="1" applyBorder="1" applyAlignment="1">
      <alignment horizontal="left" vertical="center" wrapText="1"/>
    </xf>
    <xf numFmtId="3" fontId="2" fillId="2" borderId="90" xfId="0" applyNumberFormat="1" applyFont="1" applyFill="1" applyBorder="1" applyAlignment="1">
      <alignment horizontal="right" vertical="center" wrapText="1" indent="1"/>
    </xf>
    <xf numFmtId="4" fontId="2" fillId="2" borderId="90" xfId="0" applyNumberFormat="1" applyFont="1" applyFill="1" applyBorder="1" applyAlignment="1">
      <alignment horizontal="right" vertical="center" wrapText="1" indent="1"/>
    </xf>
    <xf numFmtId="4" fontId="12" fillId="2" borderId="90" xfId="0" applyNumberFormat="1" applyFont="1" applyFill="1" applyBorder="1" applyAlignment="1">
      <alignment horizontal="right" vertical="center" wrapText="1" indent="1"/>
    </xf>
    <xf numFmtId="0" fontId="3" fillId="0" borderId="90" xfId="0" applyFont="1" applyFill="1" applyBorder="1" applyAlignment="1">
      <alignment horizontal="left" vertical="center"/>
    </xf>
    <xf numFmtId="0" fontId="12" fillId="0" borderId="90" xfId="7" applyFont="1" applyFill="1" applyBorder="1" applyAlignment="1">
      <alignment horizontal="left" vertical="center" wrapText="1"/>
    </xf>
    <xf numFmtId="0" fontId="2" fillId="0" borderId="90" xfId="0" applyFont="1" applyFill="1" applyBorder="1" applyAlignment="1">
      <alignment horizontal="left" vertical="center" wrapText="1" indent="1"/>
    </xf>
    <xf numFmtId="4" fontId="12" fillId="0" borderId="90" xfId="0" applyNumberFormat="1" applyFont="1" applyFill="1" applyBorder="1" applyAlignment="1">
      <alignment horizontal="right" vertical="center" wrapText="1" indent="1"/>
    </xf>
    <xf numFmtId="3" fontId="12" fillId="0" borderId="91" xfId="0" applyNumberFormat="1" applyFont="1" applyBorder="1" applyAlignment="1">
      <alignment horizontal="right" vertical="center" indent="1"/>
    </xf>
    <xf numFmtId="4" fontId="12" fillId="0" borderId="91" xfId="0" applyNumberFormat="1" applyFont="1" applyBorder="1" applyAlignment="1">
      <alignment horizontal="right" vertical="center" indent="1"/>
    </xf>
    <xf numFmtId="0" fontId="2" fillId="0" borderId="96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right" vertical="center" indent="1"/>
    </xf>
    <xf numFmtId="0" fontId="2" fillId="0" borderId="96" xfId="0" applyFont="1" applyFill="1" applyBorder="1" applyAlignment="1">
      <alignment horizontal="left" vertical="center" indent="1"/>
    </xf>
    <xf numFmtId="0" fontId="2" fillId="2" borderId="96" xfId="0" applyFont="1" applyFill="1" applyBorder="1"/>
    <xf numFmtId="0" fontId="2" fillId="2" borderId="97" xfId="0" applyFont="1" applyFill="1" applyBorder="1"/>
    <xf numFmtId="0" fontId="2" fillId="0" borderId="95" xfId="0" applyFont="1" applyFill="1" applyBorder="1"/>
    <xf numFmtId="0" fontId="8" fillId="0" borderId="91" xfId="0" applyFont="1" applyBorder="1" applyAlignment="1">
      <alignment horizontal="left" vertical="center"/>
    </xf>
    <xf numFmtId="0" fontId="2" fillId="0" borderId="86" xfId="0" applyFont="1" applyBorder="1"/>
    <xf numFmtId="0" fontId="26" fillId="2" borderId="90" xfId="0" applyFont="1" applyFill="1" applyBorder="1" applyAlignment="1">
      <alignment horizontal="left" vertical="center"/>
    </xf>
    <xf numFmtId="0" fontId="2" fillId="0" borderId="90" xfId="0" applyFont="1" applyBorder="1" applyAlignment="1">
      <alignment vertical="center" wrapText="1"/>
    </xf>
    <xf numFmtId="0" fontId="25" fillId="0" borderId="93" xfId="0" applyFont="1" applyBorder="1" applyAlignment="1">
      <alignment horizontal="left" vertical="center" indent="1"/>
    </xf>
    <xf numFmtId="0" fontId="31" fillId="0" borderId="90" xfId="0" applyFont="1" applyBorder="1" applyAlignment="1">
      <alignment horizontal="left" wrapText="1" indent="1"/>
    </xf>
    <xf numFmtId="0" fontId="25" fillId="0" borderId="90" xfId="0" applyFont="1" applyBorder="1" applyAlignment="1">
      <alignment horizontal="right" vertical="center" indent="1"/>
    </xf>
    <xf numFmtId="3" fontId="25" fillId="2" borderId="90" xfId="0" applyNumberFormat="1" applyFont="1" applyFill="1" applyBorder="1" applyAlignment="1">
      <alignment horizontal="right" vertical="center" indent="1"/>
    </xf>
    <xf numFmtId="0" fontId="31" fillId="0" borderId="90" xfId="0" applyFont="1" applyBorder="1" applyAlignment="1">
      <alignment horizontal="left" vertical="center" wrapText="1" indent="1"/>
    </xf>
    <xf numFmtId="0" fontId="8" fillId="0" borderId="90" xfId="0" applyFont="1" applyBorder="1" applyAlignment="1">
      <alignment vertical="center"/>
    </xf>
    <xf numFmtId="0" fontId="18" fillId="2" borderId="91" xfId="0" applyFont="1" applyFill="1" applyBorder="1" applyAlignment="1">
      <alignment vertical="center"/>
    </xf>
    <xf numFmtId="0" fontId="18" fillId="2" borderId="90" xfId="0" applyFont="1" applyFill="1" applyBorder="1" applyAlignment="1">
      <alignment vertical="center"/>
    </xf>
    <xf numFmtId="4" fontId="18" fillId="2" borderId="90" xfId="0" applyNumberFormat="1" applyFont="1" applyFill="1" applyBorder="1" applyAlignment="1">
      <alignment horizontal="right" vertical="center" indent="1"/>
    </xf>
    <xf numFmtId="9" fontId="18" fillId="2" borderId="90" xfId="11" applyFont="1" applyFill="1" applyBorder="1" applyAlignment="1">
      <alignment horizontal="right" vertical="center" indent="1"/>
    </xf>
    <xf numFmtId="3" fontId="18" fillId="2" borderId="90" xfId="0" applyNumberFormat="1" applyFont="1" applyFill="1" applyBorder="1" applyAlignment="1">
      <alignment horizontal="right" vertical="center" indent="1"/>
    </xf>
    <xf numFmtId="2" fontId="18" fillId="2" borderId="90" xfId="0" applyNumberFormat="1" applyFont="1" applyFill="1" applyBorder="1" applyAlignment="1">
      <alignment horizontal="right" vertical="center" indent="1"/>
    </xf>
    <xf numFmtId="0" fontId="3" fillId="2" borderId="90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vertical="center" wrapText="1"/>
    </xf>
    <xf numFmtId="0" fontId="3" fillId="2" borderId="91" xfId="0" applyFont="1" applyFill="1" applyBorder="1" applyAlignment="1">
      <alignment vertical="center"/>
    </xf>
    <xf numFmtId="3" fontId="2" fillId="2" borderId="91" xfId="0" applyNumberFormat="1" applyFont="1" applyFill="1" applyBorder="1" applyAlignment="1">
      <alignment horizontal="right" vertical="center" indent="1"/>
    </xf>
    <xf numFmtId="4" fontId="3" fillId="2" borderId="91" xfId="0" applyNumberFormat="1" applyFont="1" applyFill="1" applyBorder="1" applyAlignment="1">
      <alignment horizontal="right" vertical="center" indent="1"/>
    </xf>
    <xf numFmtId="4" fontId="3" fillId="2" borderId="91" xfId="11" applyNumberFormat="1" applyFont="1" applyFill="1" applyBorder="1" applyAlignment="1">
      <alignment horizontal="right" vertical="center" indent="1"/>
    </xf>
    <xf numFmtId="3" fontId="3" fillId="2" borderId="90" xfId="0" applyNumberFormat="1" applyFont="1" applyFill="1" applyBorder="1" applyAlignment="1">
      <alignment horizontal="right" vertical="center" indent="1"/>
    </xf>
    <xf numFmtId="4" fontId="3" fillId="2" borderId="90" xfId="0" applyNumberFormat="1" applyFont="1" applyFill="1" applyBorder="1" applyAlignment="1">
      <alignment horizontal="right" vertical="center" indent="1"/>
    </xf>
    <xf numFmtId="4" fontId="3" fillId="2" borderId="90" xfId="11" applyNumberFormat="1" applyFont="1" applyFill="1" applyBorder="1" applyAlignment="1">
      <alignment horizontal="right" vertical="center" indent="1"/>
    </xf>
    <xf numFmtId="0" fontId="12" fillId="2" borderId="90" xfId="0" applyFont="1" applyFill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indent="1"/>
    </xf>
    <xf numFmtId="3" fontId="2" fillId="2" borderId="90" xfId="0" applyNumberFormat="1" applyFont="1" applyFill="1" applyBorder="1" applyAlignment="1">
      <alignment horizontal="right" vertical="center" indent="1"/>
    </xf>
    <xf numFmtId="4" fontId="2" fillId="2" borderId="91" xfId="11" applyNumberFormat="1" applyFont="1" applyFill="1" applyBorder="1" applyAlignment="1">
      <alignment horizontal="right" vertical="center" indent="1"/>
    </xf>
    <xf numFmtId="4" fontId="2" fillId="2" borderId="90" xfId="11" applyNumberFormat="1" applyFont="1" applyFill="1" applyBorder="1" applyAlignment="1">
      <alignment horizontal="right" vertical="center" indent="1"/>
    </xf>
    <xf numFmtId="3" fontId="3" fillId="2" borderId="90" xfId="0" applyNumberFormat="1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left" vertical="center" indent="1"/>
    </xf>
    <xf numFmtId="0" fontId="3" fillId="2" borderId="90" xfId="0" applyFont="1" applyFill="1" applyBorder="1" applyAlignment="1">
      <alignment horizontal="left" vertical="center" indent="1"/>
    </xf>
    <xf numFmtId="3" fontId="3" fillId="2" borderId="91" xfId="0" applyNumberFormat="1" applyFont="1" applyFill="1" applyBorder="1" applyAlignment="1">
      <alignment horizontal="right" vertical="center" indent="1"/>
    </xf>
    <xf numFmtId="3" fontId="12" fillId="2" borderId="90" xfId="0" applyNumberFormat="1" applyFont="1" applyFill="1" applyBorder="1" applyAlignment="1">
      <alignment horizontal="right" vertical="center" wrapText="1"/>
    </xf>
    <xf numFmtId="3" fontId="18" fillId="2" borderId="90" xfId="0" applyNumberFormat="1" applyFont="1" applyFill="1" applyBorder="1" applyAlignment="1">
      <alignment horizontal="left" vertical="center" wrapText="1"/>
    </xf>
    <xf numFmtId="0" fontId="18" fillId="2" borderId="90" xfId="0" applyFont="1" applyFill="1" applyBorder="1" applyAlignment="1">
      <alignment vertical="center" wrapText="1"/>
    </xf>
    <xf numFmtId="0" fontId="18" fillId="2" borderId="90" xfId="0" applyFont="1" applyFill="1" applyBorder="1" applyAlignment="1">
      <alignment horizontal="left" vertical="center" wrapText="1" indent="1"/>
    </xf>
    <xf numFmtId="4" fontId="3" fillId="2" borderId="90" xfId="0" applyNumberFormat="1" applyFont="1" applyFill="1" applyBorder="1" applyAlignment="1">
      <alignment horizontal="right" vertical="center" wrapText="1" indent="1"/>
    </xf>
    <xf numFmtId="4" fontId="18" fillId="2" borderId="90" xfId="11" applyNumberFormat="1" applyFont="1" applyFill="1" applyBorder="1" applyAlignment="1">
      <alignment horizontal="right" vertical="center" indent="1"/>
    </xf>
    <xf numFmtId="0" fontId="3" fillId="2" borderId="90" xfId="0" applyFont="1" applyFill="1" applyBorder="1" applyAlignment="1">
      <alignment horizontal="left" vertical="center" wrapText="1" indent="1"/>
    </xf>
    <xf numFmtId="3" fontId="3" fillId="2" borderId="90" xfId="0" applyNumberFormat="1" applyFont="1" applyFill="1" applyBorder="1" applyAlignment="1">
      <alignment horizontal="right" vertical="center" wrapText="1" indent="1"/>
    </xf>
    <xf numFmtId="0" fontId="8" fillId="0" borderId="90" xfId="0" applyFont="1" applyBorder="1" applyAlignment="1">
      <alignment horizontal="left" vertical="center"/>
    </xf>
    <xf numFmtId="0" fontId="2" fillId="0" borderId="90" xfId="0" applyFont="1" applyBorder="1" applyAlignment="1">
      <alignment horizontal="left"/>
    </xf>
    <xf numFmtId="0" fontId="18" fillId="0" borderId="90" xfId="0" applyFont="1" applyBorder="1" applyAlignment="1">
      <alignment vertical="center"/>
    </xf>
    <xf numFmtId="0" fontId="3" fillId="0" borderId="90" xfId="0" applyFont="1" applyBorder="1" applyAlignment="1">
      <alignment horizontal="left" vertical="center" indent="1"/>
    </xf>
    <xf numFmtId="0" fontId="3" fillId="0" borderId="90" xfId="0" applyFont="1" applyBorder="1" applyAlignment="1">
      <alignment horizontal="right" vertical="center" indent="1"/>
    </xf>
    <xf numFmtId="3" fontId="18" fillId="0" borderId="90" xfId="0" applyNumberFormat="1" applyFont="1" applyFill="1" applyBorder="1" applyAlignment="1">
      <alignment horizontal="right" vertical="center" indent="1"/>
    </xf>
    <xf numFmtId="4" fontId="18" fillId="0" borderId="90" xfId="0" applyNumberFormat="1" applyFont="1" applyBorder="1" applyAlignment="1">
      <alignment horizontal="right" vertical="center" indent="1"/>
    </xf>
    <xf numFmtId="0" fontId="3" fillId="0" borderId="90" xfId="0" applyFont="1" applyBorder="1" applyAlignment="1">
      <alignment horizontal="left" vertical="center"/>
    </xf>
    <xf numFmtId="0" fontId="2" fillId="2" borderId="90" xfId="0" applyFont="1" applyFill="1" applyBorder="1" applyAlignment="1">
      <alignment vertical="center" wrapText="1"/>
    </xf>
    <xf numFmtId="0" fontId="2" fillId="2" borderId="90" xfId="0" applyFont="1" applyFill="1" applyBorder="1" applyAlignment="1">
      <alignment horizontal="left" vertical="center" indent="1"/>
    </xf>
    <xf numFmtId="0" fontId="12" fillId="2" borderId="90" xfId="7" applyFont="1" applyFill="1" applyBorder="1" applyAlignment="1">
      <alignment vertical="center" wrapText="1"/>
    </xf>
    <xf numFmtId="3" fontId="13" fillId="13" borderId="90" xfId="0" applyNumberFormat="1" applyFont="1" applyFill="1" applyBorder="1" applyAlignment="1">
      <alignment horizontal="right" vertical="center" wrapText="1" indent="1"/>
    </xf>
    <xf numFmtId="0" fontId="3" fillId="0" borderId="90" xfId="0" applyFont="1" applyBorder="1" applyAlignment="1">
      <alignment horizontal="left"/>
    </xf>
    <xf numFmtId="0" fontId="18" fillId="2" borderId="90" xfId="0" applyFont="1" applyFill="1" applyBorder="1" applyAlignment="1">
      <alignment horizontal="right" vertical="center" wrapText="1" indent="1"/>
    </xf>
    <xf numFmtId="0" fontId="2" fillId="2" borderId="90" xfId="0" applyFont="1" applyFill="1" applyBorder="1" applyAlignment="1">
      <alignment horizontal="justify" vertical="center"/>
    </xf>
    <xf numFmtId="0" fontId="12" fillId="2" borderId="90" xfId="10" applyFont="1" applyFill="1" applyBorder="1" applyAlignment="1">
      <alignment horizontal="right" vertical="center" indent="1"/>
    </xf>
    <xf numFmtId="0" fontId="13" fillId="13" borderId="90" xfId="0" applyFont="1" applyFill="1" applyBorder="1" applyAlignment="1">
      <alignment horizontal="left" vertical="center" wrapText="1"/>
    </xf>
    <xf numFmtId="0" fontId="12" fillId="2" borderId="90" xfId="0" applyFont="1" applyFill="1" applyBorder="1" applyAlignment="1">
      <alignment horizontal="justify" vertical="center"/>
    </xf>
    <xf numFmtId="4" fontId="13" fillId="13" borderId="90" xfId="0" applyNumberFormat="1" applyFont="1" applyFill="1" applyBorder="1" applyAlignment="1">
      <alignment horizontal="right" vertical="center" wrapText="1" indent="1"/>
    </xf>
    <xf numFmtId="0" fontId="13" fillId="13" borderId="90" xfId="0" applyFont="1" applyFill="1" applyBorder="1" applyAlignment="1">
      <alignment horizontal="right" vertical="center" wrapText="1" indent="1"/>
    </xf>
    <xf numFmtId="49" fontId="2" fillId="2" borderId="90" xfId="0" applyNumberFormat="1" applyFont="1" applyFill="1" applyBorder="1" applyAlignment="1">
      <alignment horizontal="left" vertical="center" wrapText="1" indent="1"/>
    </xf>
    <xf numFmtId="2" fontId="12" fillId="2" borderId="90" xfId="10" applyNumberFormat="1" applyFont="1" applyFill="1" applyBorder="1" applyAlignment="1">
      <alignment horizontal="right" vertical="center" indent="1"/>
    </xf>
    <xf numFmtId="4" fontId="8" fillId="2" borderId="90" xfId="0" applyNumberFormat="1" applyFont="1" applyFill="1" applyBorder="1" applyAlignment="1">
      <alignment horizontal="right" vertical="center" indent="1"/>
    </xf>
    <xf numFmtId="0" fontId="2" fillId="0" borderId="90" xfId="0" applyFont="1" applyFill="1" applyBorder="1" applyAlignment="1">
      <alignment horizontal="left" vertical="center" indent="1"/>
    </xf>
    <xf numFmtId="0" fontId="12" fillId="2" borderId="90" xfId="0" applyFont="1" applyFill="1" applyBorder="1" applyAlignment="1">
      <alignment horizontal="left" vertical="center" indent="1"/>
    </xf>
    <xf numFmtId="0" fontId="12" fillId="2" borderId="90" xfId="0" applyFont="1" applyFill="1" applyBorder="1" applyAlignment="1">
      <alignment horizontal="right" vertical="center" indent="1"/>
    </xf>
    <xf numFmtId="1" fontId="12" fillId="2" borderId="90" xfId="0" applyNumberFormat="1" applyFont="1" applyFill="1" applyBorder="1" applyAlignment="1">
      <alignment horizontal="right" vertical="center" indent="1"/>
    </xf>
    <xf numFmtId="0" fontId="2" fillId="0" borderId="90" xfId="0" applyFont="1" applyFill="1" applyBorder="1" applyAlignment="1">
      <alignment horizontal="right" vertical="center" indent="1"/>
    </xf>
    <xf numFmtId="0" fontId="15" fillId="0" borderId="85" xfId="0" applyFont="1" applyBorder="1"/>
    <xf numFmtId="0" fontId="15" fillId="0" borderId="86" xfId="0" applyFont="1" applyBorder="1"/>
    <xf numFmtId="0" fontId="15" fillId="0" borderId="87" xfId="0" applyFont="1" applyBorder="1"/>
    <xf numFmtId="4" fontId="8" fillId="2" borderId="19" xfId="11" applyNumberFormat="1" applyFont="1" applyFill="1" applyBorder="1" applyAlignment="1">
      <alignment horizontal="right" vertical="center" wrapText="1" indent="1"/>
    </xf>
    <xf numFmtId="4" fontId="18" fillId="2" borderId="19" xfId="11" applyNumberFormat="1" applyFont="1" applyFill="1" applyBorder="1" applyAlignment="1">
      <alignment horizontal="right" vertical="center" wrapText="1" indent="1"/>
    </xf>
    <xf numFmtId="49" fontId="12" fillId="2" borderId="76" xfId="0" applyNumberFormat="1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left" vertical="center" wrapText="1" indent="1"/>
    </xf>
    <xf numFmtId="4" fontId="4" fillId="2" borderId="11" xfId="0" applyNumberFormat="1" applyFont="1" applyFill="1" applyBorder="1" applyAlignment="1">
      <alignment horizontal="right" vertical="center" wrapText="1" indent="1"/>
    </xf>
    <xf numFmtId="0" fontId="4" fillId="2" borderId="6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/>
    <xf numFmtId="0" fontId="2" fillId="2" borderId="19" xfId="0" applyFont="1" applyFill="1" applyBorder="1" applyAlignment="1">
      <alignment horizontal="right" indent="1"/>
    </xf>
    <xf numFmtId="0" fontId="2" fillId="2" borderId="19" xfId="0" applyFont="1" applyFill="1" applyBorder="1"/>
    <xf numFmtId="3" fontId="8" fillId="2" borderId="19" xfId="0" applyNumberFormat="1" applyFont="1" applyFill="1" applyBorder="1" applyAlignment="1">
      <alignment horizontal="right" vertical="center" indent="1"/>
    </xf>
    <xf numFmtId="4" fontId="8" fillId="2" borderId="19" xfId="0" applyNumberFormat="1" applyFont="1" applyFill="1" applyBorder="1" applyAlignment="1">
      <alignment vertical="center"/>
    </xf>
    <xf numFmtId="0" fontId="18" fillId="2" borderId="76" xfId="12" applyFont="1" applyFill="1" applyBorder="1" applyAlignment="1">
      <alignment horizontal="left" vertical="center" wrapText="1"/>
    </xf>
    <xf numFmtId="0" fontId="18" fillId="2" borderId="19" xfId="12" applyFont="1" applyFill="1" applyBorder="1" applyAlignment="1">
      <alignment vertical="center" wrapText="1"/>
    </xf>
    <xf numFmtId="4" fontId="18" fillId="2" borderId="19" xfId="12" applyNumberFormat="1" applyFont="1" applyFill="1" applyBorder="1" applyAlignment="1">
      <alignment vertical="center" wrapText="1"/>
    </xf>
    <xf numFmtId="3" fontId="18" fillId="2" borderId="19" xfId="12" applyNumberFormat="1" applyFont="1" applyFill="1" applyBorder="1" applyAlignment="1">
      <alignment horizontal="right" vertical="center" wrapText="1" indent="1"/>
    </xf>
    <xf numFmtId="4" fontId="18" fillId="2" borderId="19" xfId="12" applyNumberFormat="1" applyFont="1" applyFill="1" applyBorder="1" applyAlignment="1">
      <alignment horizontal="right" vertical="center" wrapText="1" indent="1"/>
    </xf>
    <xf numFmtId="3" fontId="12" fillId="2" borderId="19" xfId="9" applyNumberFormat="1" applyFont="1" applyFill="1" applyBorder="1" applyAlignment="1">
      <alignment horizontal="right" vertical="center" indent="1"/>
    </xf>
    <xf numFmtId="4" fontId="12" fillId="2" borderId="19" xfId="11" applyNumberFormat="1" applyFont="1" applyFill="1" applyBorder="1" applyAlignment="1">
      <alignment horizontal="right" vertical="center" indent="1"/>
    </xf>
    <xf numFmtId="4" fontId="12" fillId="2" borderId="19" xfId="9" applyNumberFormat="1" applyFont="1" applyFill="1" applyBorder="1" applyAlignment="1">
      <alignment horizontal="right" vertical="center" indent="1"/>
    </xf>
    <xf numFmtId="164" fontId="12" fillId="2" borderId="19" xfId="9" applyNumberFormat="1" applyFont="1" applyFill="1" applyBorder="1" applyAlignment="1">
      <alignment horizontal="right" vertical="center" indent="1"/>
    </xf>
    <xf numFmtId="3" fontId="2" fillId="2" borderId="19" xfId="9" applyNumberFormat="1" applyFont="1" applyFill="1" applyBorder="1" applyAlignment="1">
      <alignment horizontal="right" vertical="center" indent="1"/>
    </xf>
    <xf numFmtId="0" fontId="2" fillId="2" borderId="76" xfId="0" applyFont="1" applyFill="1" applyBorder="1" applyAlignment="1">
      <alignment horizontal="justify" vertical="center"/>
    </xf>
    <xf numFmtId="0" fontId="18" fillId="2" borderId="76" xfId="0" applyFont="1" applyFill="1" applyBorder="1" applyAlignment="1">
      <alignment horizontal="justify" vertical="center"/>
    </xf>
    <xf numFmtId="0" fontId="18" fillId="2" borderId="76" xfId="0" applyFont="1" applyFill="1" applyBorder="1" applyAlignment="1">
      <alignment horizontal="left" vertical="center" wrapText="1" indent="1"/>
    </xf>
    <xf numFmtId="4" fontId="18" fillId="2" borderId="19" xfId="0" applyNumberFormat="1" applyFont="1" applyFill="1" applyBorder="1" applyAlignment="1">
      <alignment horizontal="right" vertical="center" wrapText="1" indent="1"/>
    </xf>
    <xf numFmtId="4" fontId="18" fillId="2" borderId="19" xfId="11" applyNumberFormat="1" applyFont="1" applyFill="1" applyBorder="1" applyAlignment="1">
      <alignment horizontal="right" vertical="center" indent="1"/>
    </xf>
    <xf numFmtId="3" fontId="18" fillId="2" borderId="19" xfId="0" applyNumberFormat="1" applyFont="1" applyFill="1" applyBorder="1" applyAlignment="1">
      <alignment horizontal="right" vertical="center" wrapText="1" indent="1"/>
    </xf>
    <xf numFmtId="0" fontId="12" fillId="2" borderId="19" xfId="0" applyFont="1" applyFill="1" applyBorder="1" applyAlignment="1">
      <alignment horizontal="left" wrapText="1" indent="1"/>
    </xf>
    <xf numFmtId="0" fontId="18" fillId="2" borderId="20" xfId="0" applyFont="1" applyFill="1" applyBorder="1" applyAlignment="1">
      <alignment horizontal="left" vertical="center" wrapText="1" indent="1"/>
    </xf>
    <xf numFmtId="0" fontId="18" fillId="2" borderId="22" xfId="0" applyFont="1" applyFill="1" applyBorder="1" applyAlignment="1">
      <alignment horizontal="left" vertical="center" wrapText="1" indent="1"/>
    </xf>
    <xf numFmtId="0" fontId="18" fillId="2" borderId="19" xfId="0" applyFont="1" applyFill="1" applyBorder="1" applyAlignment="1">
      <alignment horizontal="left" vertical="center" wrapText="1" indent="1"/>
    </xf>
    <xf numFmtId="0" fontId="18" fillId="2" borderId="76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left" vertical="center" wrapText="1" indent="1"/>
    </xf>
    <xf numFmtId="0" fontId="4" fillId="2" borderId="22" xfId="0" applyFont="1" applyFill="1" applyBorder="1" applyAlignment="1">
      <alignment horizontal="left" vertical="center" wrapText="1" indent="1"/>
    </xf>
    <xf numFmtId="43" fontId="2" fillId="0" borderId="50" xfId="9" applyFont="1" applyBorder="1" applyAlignment="1">
      <alignment horizontal="right" vertical="center" indent="1"/>
    </xf>
    <xf numFmtId="3" fontId="2" fillId="0" borderId="50" xfId="0" applyNumberFormat="1" applyFont="1" applyBorder="1" applyAlignment="1">
      <alignment horizontal="right" vertical="center" indent="1"/>
    </xf>
    <xf numFmtId="4" fontId="2" fillId="0" borderId="50" xfId="9" applyNumberFormat="1" applyFont="1" applyBorder="1" applyAlignment="1">
      <alignment horizontal="right" vertical="center" indent="1"/>
    </xf>
    <xf numFmtId="0" fontId="65" fillId="0" borderId="0" xfId="0" applyFont="1" applyBorder="1" applyAlignment="1">
      <alignment vertical="center"/>
    </xf>
    <xf numFmtId="3" fontId="23" fillId="2" borderId="90" xfId="0" applyNumberFormat="1" applyFont="1" applyFill="1" applyBorder="1" applyAlignment="1">
      <alignment horizontal="right" vertical="center" wrapText="1" indent="1"/>
    </xf>
    <xf numFmtId="4" fontId="23" fillId="2" borderId="90" xfId="0" applyNumberFormat="1" applyFont="1" applyFill="1" applyBorder="1" applyAlignment="1">
      <alignment horizontal="right" vertical="center" wrapText="1" indent="1"/>
    </xf>
    <xf numFmtId="3" fontId="8" fillId="0" borderId="88" xfId="0" applyNumberFormat="1" applyFont="1" applyBorder="1" applyAlignment="1">
      <alignment horizontal="right" vertical="center" indent="1"/>
    </xf>
    <xf numFmtId="4" fontId="8" fillId="0" borderId="88" xfId="0" applyNumberFormat="1" applyFont="1" applyBorder="1" applyAlignment="1">
      <alignment horizontal="right" vertical="center" indent="1"/>
    </xf>
    <xf numFmtId="0" fontId="18" fillId="0" borderId="90" xfId="0" applyFont="1" applyBorder="1" applyAlignment="1">
      <alignment vertical="center" wrapText="1"/>
    </xf>
    <xf numFmtId="0" fontId="17" fillId="0" borderId="90" xfId="0" applyFont="1" applyBorder="1" applyAlignment="1">
      <alignment horizontal="left" indent="1"/>
    </xf>
    <xf numFmtId="0" fontId="17" fillId="0" borderId="90" xfId="0" applyFont="1" applyBorder="1" applyAlignment="1">
      <alignment horizontal="right" indent="1"/>
    </xf>
    <xf numFmtId="3" fontId="18" fillId="0" borderId="90" xfId="0" applyNumberFormat="1" applyFont="1" applyBorder="1" applyAlignment="1">
      <alignment horizontal="right" vertical="center" indent="1"/>
    </xf>
    <xf numFmtId="0" fontId="12" fillId="2" borderId="90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justify" vertical="center" wrapText="1"/>
    </xf>
    <xf numFmtId="0" fontId="4" fillId="0" borderId="90" xfId="0" applyFont="1" applyFill="1" applyBorder="1" applyAlignment="1">
      <alignment horizontal="left" vertical="center" indent="1"/>
    </xf>
    <xf numFmtId="0" fontId="4" fillId="0" borderId="90" xfId="0" applyFont="1" applyFill="1" applyBorder="1" applyAlignment="1">
      <alignment horizontal="right" vertical="center" indent="1"/>
    </xf>
    <xf numFmtId="0" fontId="2" fillId="0" borderId="90" xfId="0" applyFont="1" applyFill="1" applyBorder="1" applyAlignment="1">
      <alignment horizontal="right" vertical="center"/>
    </xf>
    <xf numFmtId="0" fontId="2" fillId="0" borderId="90" xfId="0" applyFont="1" applyFill="1" applyBorder="1" applyAlignment="1">
      <alignment horizontal="justify" vertical="center" wrapText="1"/>
    </xf>
    <xf numFmtId="0" fontId="3" fillId="0" borderId="90" xfId="0" applyFont="1" applyFill="1" applyBorder="1" applyAlignment="1">
      <alignment horizontal="justify" vertical="center" wrapText="1"/>
    </xf>
    <xf numFmtId="0" fontId="3" fillId="0" borderId="90" xfId="0" applyFont="1" applyFill="1" applyBorder="1" applyAlignment="1">
      <alignment horizontal="left" vertical="center" indent="1"/>
    </xf>
    <xf numFmtId="0" fontId="3" fillId="0" borderId="90" xfId="0" applyFont="1" applyFill="1" applyBorder="1" applyAlignment="1">
      <alignment horizontal="right" vertical="center" indent="1"/>
    </xf>
    <xf numFmtId="0" fontId="3" fillId="0" borderId="90" xfId="0" applyFont="1" applyFill="1" applyBorder="1" applyAlignment="1">
      <alignment horizontal="left" vertical="center" wrapText="1" indent="1"/>
    </xf>
    <xf numFmtId="0" fontId="12" fillId="0" borderId="90" xfId="0" applyFont="1" applyFill="1" applyBorder="1" applyAlignment="1">
      <alignment horizontal="justify" vertical="center" wrapText="1"/>
    </xf>
    <xf numFmtId="0" fontId="12" fillId="0" borderId="90" xfId="0" applyFont="1" applyFill="1" applyBorder="1" applyAlignment="1">
      <alignment horizontal="left" vertical="center" indent="1"/>
    </xf>
    <xf numFmtId="0" fontId="2" fillId="0" borderId="90" xfId="0" applyFont="1" applyFill="1" applyBorder="1" applyAlignment="1">
      <alignment horizontal="left" vertical="center" wrapText="1"/>
    </xf>
    <xf numFmtId="0" fontId="2" fillId="0" borderId="90" xfId="0" applyFont="1" applyBorder="1" applyAlignment="1">
      <alignment horizontal="right" vertical="center" indent="1"/>
    </xf>
    <xf numFmtId="3" fontId="2" fillId="0" borderId="90" xfId="0" applyNumberFormat="1" applyFont="1" applyBorder="1" applyAlignment="1">
      <alignment horizontal="right" vertical="center" indent="1"/>
    </xf>
    <xf numFmtId="4" fontId="2" fillId="0" borderId="90" xfId="0" applyNumberFormat="1" applyFont="1" applyBorder="1" applyAlignment="1">
      <alignment horizontal="right" vertical="center" indent="1"/>
    </xf>
    <xf numFmtId="4" fontId="2" fillId="0" borderId="90" xfId="0" applyNumberFormat="1" applyFont="1" applyBorder="1" applyAlignment="1">
      <alignment horizontal="right" indent="1"/>
    </xf>
    <xf numFmtId="0" fontId="3" fillId="0" borderId="90" xfId="0" applyFont="1" applyBorder="1" applyAlignment="1">
      <alignment horizontal="left" indent="1"/>
    </xf>
    <xf numFmtId="0" fontId="3" fillId="0" borderId="90" xfId="0" applyFont="1" applyBorder="1" applyAlignment="1">
      <alignment horizontal="right" indent="1"/>
    </xf>
    <xf numFmtId="3" fontId="3" fillId="0" borderId="90" xfId="0" applyNumberFormat="1" applyFont="1" applyBorder="1" applyAlignment="1">
      <alignment horizontal="right" vertical="center" indent="1"/>
    </xf>
    <xf numFmtId="4" fontId="3" fillId="0" borderId="90" xfId="0" applyNumberFormat="1" applyFont="1" applyBorder="1" applyAlignment="1">
      <alignment horizontal="right" vertical="center" indent="1"/>
    </xf>
    <xf numFmtId="0" fontId="2" fillId="0" borderId="90" xfId="0" applyFont="1" applyBorder="1" applyAlignment="1">
      <alignment vertical="center"/>
    </xf>
    <xf numFmtId="0" fontId="20" fillId="2" borderId="90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left" vertical="center"/>
    </xf>
    <xf numFmtId="0" fontId="8" fillId="2" borderId="90" xfId="0" applyFont="1" applyFill="1" applyBorder="1" applyAlignment="1">
      <alignment horizontal="left" vertical="center" indent="1"/>
    </xf>
    <xf numFmtId="0" fontId="27" fillId="2" borderId="90" xfId="0" applyFont="1" applyFill="1" applyBorder="1" applyAlignment="1">
      <alignment horizontal="left" vertical="center" wrapText="1" indent="1"/>
    </xf>
    <xf numFmtId="4" fontId="27" fillId="2" borderId="90" xfId="0" applyNumberFormat="1" applyFont="1" applyFill="1" applyBorder="1" applyAlignment="1">
      <alignment horizontal="right" vertical="center" wrapText="1" indent="1"/>
    </xf>
    <xf numFmtId="3" fontId="8" fillId="2" borderId="90" xfId="0" applyNumberFormat="1" applyFont="1" applyFill="1" applyBorder="1" applyAlignment="1">
      <alignment horizontal="right" vertical="center" wrapText="1" indent="1"/>
    </xf>
    <xf numFmtId="0" fontId="3" fillId="2" borderId="90" xfId="0" applyFont="1" applyFill="1" applyBorder="1" applyAlignment="1">
      <alignment horizontal="left" vertical="center"/>
    </xf>
    <xf numFmtId="3" fontId="2" fillId="2" borderId="90" xfId="0" applyNumberFormat="1" applyFont="1" applyFill="1" applyBorder="1" applyAlignment="1" applyProtection="1">
      <alignment horizontal="left" vertical="center" indent="1"/>
      <protection locked="0"/>
    </xf>
    <xf numFmtId="4" fontId="2" fillId="2" borderId="90" xfId="11" applyNumberFormat="1" applyFont="1" applyFill="1" applyBorder="1" applyAlignment="1">
      <alignment horizontal="right" vertical="center" wrapText="1" indent="1"/>
    </xf>
    <xf numFmtId="3" fontId="2" fillId="2" borderId="90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90" xfId="0" applyFont="1" applyFill="1" applyBorder="1" applyAlignment="1">
      <alignment horizontal="left" vertical="center"/>
    </xf>
    <xf numFmtId="172" fontId="2" fillId="0" borderId="90" xfId="0" applyNumberFormat="1" applyFont="1" applyBorder="1" applyAlignment="1">
      <alignment horizontal="right" vertical="center" indent="1"/>
    </xf>
    <xf numFmtId="4" fontId="18" fillId="0" borderId="32" xfId="11" applyNumberFormat="1" applyFont="1" applyFill="1" applyBorder="1" applyAlignment="1">
      <alignment horizontal="right" vertical="center" indent="1"/>
    </xf>
    <xf numFmtId="4" fontId="3" fillId="0" borderId="32" xfId="11" applyNumberFormat="1" applyFont="1" applyFill="1" applyBorder="1" applyAlignment="1">
      <alignment horizontal="right" vertical="center" indent="1"/>
    </xf>
    <xf numFmtId="3" fontId="18" fillId="0" borderId="44" xfId="0" applyNumberFormat="1" applyFont="1" applyBorder="1" applyAlignment="1">
      <alignment horizontal="right" vertical="center" inden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4" fontId="8" fillId="0" borderId="88" xfId="0" applyNumberFormat="1" applyFont="1" applyFill="1" applyBorder="1" applyAlignment="1">
      <alignment horizontal="right" vertical="center" wrapText="1" indent="1"/>
    </xf>
    <xf numFmtId="4" fontId="18" fillId="0" borderId="90" xfId="0" applyNumberFormat="1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/>
    </xf>
    <xf numFmtId="0" fontId="4" fillId="2" borderId="7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7" borderId="9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4" fillId="7" borderId="32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center"/>
    </xf>
    <xf numFmtId="0" fontId="4" fillId="7" borderId="68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4" fillId="7" borderId="44" xfId="0" applyFont="1" applyFill="1" applyBorder="1" applyAlignment="1">
      <alignment horizontal="center" vertical="center" wrapText="1"/>
    </xf>
    <xf numFmtId="4" fontId="12" fillId="2" borderId="44" xfId="0" applyNumberFormat="1" applyFont="1" applyFill="1" applyBorder="1" applyAlignment="1">
      <alignment horizontal="right" vertical="center" wrapText="1" indent="1"/>
    </xf>
    <xf numFmtId="0" fontId="2" fillId="2" borderId="44" xfId="0" applyFont="1" applyFill="1" applyBorder="1" applyAlignment="1">
      <alignment horizontal="left" vertical="center" wrapText="1"/>
    </xf>
    <xf numFmtId="3" fontId="2" fillId="2" borderId="44" xfId="0" applyNumberFormat="1" applyFont="1" applyFill="1" applyBorder="1" applyAlignment="1">
      <alignment horizontal="right" vertical="center" wrapText="1" indent="1"/>
    </xf>
    <xf numFmtId="4" fontId="2" fillId="2" borderId="44" xfId="0" applyNumberFormat="1" applyFont="1" applyFill="1" applyBorder="1" applyAlignment="1">
      <alignment horizontal="right" vertical="center" wrapText="1" indent="1"/>
    </xf>
    <xf numFmtId="0" fontId="28" fillId="2" borderId="78" xfId="10" applyFont="1" applyFill="1" applyBorder="1" applyAlignment="1">
      <alignment horizontal="justify" vertical="center" wrapText="1"/>
    </xf>
    <xf numFmtId="0" fontId="28" fillId="2" borderId="78" xfId="10" applyFont="1" applyFill="1" applyBorder="1" applyAlignment="1">
      <alignment horizontal="left" vertical="center" wrapText="1" indent="1"/>
    </xf>
    <xf numFmtId="165" fontId="41" fillId="2" borderId="80" xfId="10" applyNumberFormat="1" applyFont="1" applyFill="1" applyBorder="1" applyAlignment="1">
      <alignment horizontal="right" vertical="center" wrapText="1"/>
    </xf>
    <xf numFmtId="3" fontId="28" fillId="4" borderId="81" xfId="10" applyNumberFormat="1" applyFont="1" applyFill="1" applyBorder="1" applyAlignment="1">
      <alignment horizontal="right" vertical="center" wrapText="1" indent="1"/>
    </xf>
    <xf numFmtId="4" fontId="28" fillId="2" borderId="78" xfId="10" applyNumberFormat="1" applyFont="1" applyFill="1" applyBorder="1" applyAlignment="1">
      <alignment horizontal="right" vertical="center" wrapText="1" indent="1"/>
    </xf>
    <xf numFmtId="2" fontId="28" fillId="2" borderId="79" xfId="0" applyNumberFormat="1" applyFont="1" applyFill="1" applyBorder="1" applyAlignment="1">
      <alignment horizontal="right" vertical="center" indent="1"/>
    </xf>
    <xf numFmtId="3" fontId="2" fillId="0" borderId="68" xfId="0" applyNumberFormat="1" applyFont="1" applyFill="1" applyBorder="1" applyAlignment="1">
      <alignment horizontal="right" vertical="center" indent="1"/>
    </xf>
    <xf numFmtId="0" fontId="32" fillId="2" borderId="6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8" fillId="2" borderId="76" xfId="0" applyFont="1" applyFill="1" applyBorder="1" applyAlignment="1">
      <alignment horizontal="left" vertical="center" wrapText="1"/>
    </xf>
    <xf numFmtId="0" fontId="4" fillId="2" borderId="76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indent="1"/>
    </xf>
    <xf numFmtId="0" fontId="4" fillId="7" borderId="76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left" vertical="center" wrapText="1" indent="1"/>
    </xf>
    <xf numFmtId="0" fontId="12" fillId="0" borderId="89" xfId="0" applyFont="1" applyFill="1" applyBorder="1" applyAlignment="1">
      <alignment horizontal="left" vertical="center" wrapText="1" indent="1"/>
    </xf>
    <xf numFmtId="0" fontId="3" fillId="0" borderId="76" xfId="0" applyFont="1" applyFill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 indent="1"/>
    </xf>
    <xf numFmtId="0" fontId="4" fillId="7" borderId="57" xfId="0" applyFont="1" applyFill="1" applyBorder="1" applyAlignment="1">
      <alignment horizontal="center" vertical="center" wrapText="1"/>
    </xf>
    <xf numFmtId="1" fontId="3" fillId="2" borderId="105" xfId="0" applyNumberFormat="1" applyFont="1" applyFill="1" applyBorder="1" applyAlignment="1">
      <alignment horizontal="left" vertical="center" wrapText="1"/>
    </xf>
    <xf numFmtId="0" fontId="2" fillId="2" borderId="105" xfId="0" applyFont="1" applyFill="1" applyBorder="1" applyAlignment="1">
      <alignment vertical="center"/>
    </xf>
    <xf numFmtId="0" fontId="2" fillId="2" borderId="105" xfId="0" applyFont="1" applyFill="1" applyBorder="1" applyAlignment="1">
      <alignment horizontal="left" vertical="center" wrapText="1" indent="1"/>
    </xf>
    <xf numFmtId="3" fontId="2" fillId="2" borderId="105" xfId="0" applyNumberFormat="1" applyFont="1" applyFill="1" applyBorder="1" applyAlignment="1">
      <alignment horizontal="right" vertical="center" wrapText="1" indent="1"/>
    </xf>
    <xf numFmtId="4" fontId="2" fillId="2" borderId="105" xfId="0" applyNumberFormat="1" applyFont="1" applyFill="1" applyBorder="1" applyAlignment="1">
      <alignment horizontal="right" vertical="center" wrapText="1" indent="1"/>
    </xf>
    <xf numFmtId="0" fontId="2" fillId="2" borderId="105" xfId="0" applyFont="1" applyFill="1" applyBorder="1" applyAlignment="1">
      <alignment horizontal="justify" vertical="center" wrapText="1"/>
    </xf>
    <xf numFmtId="3" fontId="2" fillId="2" borderId="105" xfId="0" applyNumberFormat="1" applyFont="1" applyFill="1" applyBorder="1" applyAlignment="1">
      <alignment horizontal="left" vertical="center" wrapText="1" indent="1"/>
    </xf>
    <xf numFmtId="4" fontId="2" fillId="2" borderId="105" xfId="11" applyNumberFormat="1" applyFont="1" applyFill="1" applyBorder="1" applyAlignment="1">
      <alignment horizontal="right" vertical="center" indent="1"/>
    </xf>
    <xf numFmtId="0" fontId="8" fillId="0" borderId="106" xfId="0" applyFont="1" applyBorder="1" applyAlignment="1">
      <alignment horizontal="left" vertical="center"/>
    </xf>
    <xf numFmtId="0" fontId="32" fillId="2" borderId="106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left" vertical="center"/>
    </xf>
    <xf numFmtId="4" fontId="18" fillId="13" borderId="105" xfId="0" applyNumberFormat="1" applyFont="1" applyFill="1" applyBorder="1" applyAlignment="1">
      <alignment horizontal="right" vertical="center" wrapText="1" indent="1"/>
    </xf>
    <xf numFmtId="4" fontId="8" fillId="2" borderId="44" xfId="11" applyNumberFormat="1" applyFont="1" applyFill="1" applyBorder="1" applyAlignment="1">
      <alignment horizontal="right" vertical="center" indent="1"/>
    </xf>
    <xf numFmtId="3" fontId="8" fillId="2" borderId="105" xfId="0" applyNumberFormat="1" applyFont="1" applyFill="1" applyBorder="1" applyAlignment="1">
      <alignment horizontal="right" vertical="center" wrapText="1" indent="1"/>
    </xf>
    <xf numFmtId="4" fontId="8" fillId="2" borderId="105" xfId="0" applyNumberFormat="1" applyFont="1" applyFill="1" applyBorder="1" applyAlignment="1">
      <alignment horizontal="right" vertical="center" wrapText="1" indent="1"/>
    </xf>
    <xf numFmtId="4" fontId="15" fillId="0" borderId="0" xfId="0" applyNumberFormat="1" applyFont="1"/>
    <xf numFmtId="0" fontId="15" fillId="0" borderId="0" xfId="0" applyFont="1"/>
    <xf numFmtId="4" fontId="18" fillId="2" borderId="105" xfId="0" applyNumberFormat="1" applyFont="1" applyFill="1" applyBorder="1" applyAlignment="1">
      <alignment horizontal="right" vertical="center" wrapText="1" indent="1"/>
    </xf>
    <xf numFmtId="0" fontId="2" fillId="0" borderId="105" xfId="0" applyFont="1" applyBorder="1"/>
    <xf numFmtId="0" fontId="32" fillId="2" borderId="105" xfId="0" applyFont="1" applyFill="1" applyBorder="1" applyAlignment="1">
      <alignment horizontal="center" vertical="center" wrapText="1"/>
    </xf>
    <xf numFmtId="168" fontId="18" fillId="2" borderId="76" xfId="9" applyNumberFormat="1" applyFont="1" applyFill="1" applyBorder="1" applyAlignment="1">
      <alignment horizontal="right" vertical="center" indent="1"/>
    </xf>
    <xf numFmtId="167" fontId="2" fillId="2" borderId="76" xfId="0" applyNumberFormat="1" applyFont="1" applyFill="1" applyBorder="1" applyAlignment="1">
      <alignment horizontal="right" vertical="center" wrapText="1" indent="1"/>
    </xf>
    <xf numFmtId="3" fontId="2" fillId="2" borderId="88" xfId="0" applyNumberFormat="1" applyFont="1" applyFill="1" applyBorder="1" applyAlignment="1">
      <alignment horizontal="right" vertical="center" indent="1"/>
    </xf>
    <xf numFmtId="168" fontId="23" fillId="2" borderId="76" xfId="0" applyNumberFormat="1" applyFont="1" applyFill="1" applyBorder="1" applyAlignment="1">
      <alignment horizontal="right" vertical="center" indent="1"/>
    </xf>
    <xf numFmtId="171" fontId="23" fillId="2" borderId="76" xfId="0" applyNumberFormat="1" applyFont="1" applyFill="1" applyBorder="1" applyAlignment="1">
      <alignment horizontal="left" vertical="center"/>
    </xf>
    <xf numFmtId="0" fontId="52" fillId="16" borderId="105" xfId="1" applyFont="1" applyFill="1" applyBorder="1" applyAlignment="1">
      <alignment horizontal="left" vertical="center"/>
    </xf>
    <xf numFmtId="0" fontId="52" fillId="16" borderId="105" xfId="1" applyFont="1" applyFill="1" applyBorder="1" applyAlignment="1">
      <alignment horizontal="center" vertical="center" wrapText="1"/>
    </xf>
    <xf numFmtId="0" fontId="52" fillId="16" borderId="105" xfId="1" applyFont="1" applyFill="1" applyBorder="1" applyAlignment="1">
      <alignment horizontal="center" vertical="center"/>
    </xf>
    <xf numFmtId="0" fontId="53" fillId="17" borderId="105" xfId="1" applyFont="1" applyFill="1" applyBorder="1" applyAlignment="1">
      <alignment horizontal="center" vertical="center"/>
    </xf>
    <xf numFmtId="170" fontId="53" fillId="17" borderId="105" xfId="1" applyNumberFormat="1" applyFont="1" applyFill="1" applyBorder="1" applyAlignment="1">
      <alignment horizontal="right" vertical="center" indent="1"/>
    </xf>
    <xf numFmtId="179" fontId="53" fillId="17" borderId="105" xfId="1" applyNumberFormat="1" applyFont="1" applyFill="1" applyBorder="1" applyAlignment="1">
      <alignment horizontal="right" vertical="center" indent="1"/>
    </xf>
    <xf numFmtId="4" fontId="53" fillId="17" borderId="105" xfId="1" applyNumberFormat="1" applyFont="1" applyFill="1" applyBorder="1" applyAlignment="1">
      <alignment horizontal="right" vertical="center" wrapText="1" indent="1"/>
    </xf>
    <xf numFmtId="0" fontId="54" fillId="2" borderId="105" xfId="1" applyFont="1" applyFill="1" applyBorder="1" applyAlignment="1">
      <alignment horizontal="left" vertical="center" wrapText="1" indent="1"/>
    </xf>
    <xf numFmtId="170" fontId="54" fillId="2" borderId="105" xfId="12" applyNumberFormat="1" applyFont="1" applyFill="1" applyBorder="1" applyAlignment="1">
      <alignment horizontal="right" vertical="center" indent="1"/>
    </xf>
    <xf numFmtId="179" fontId="54" fillId="2" borderId="105" xfId="12" applyNumberFormat="1" applyFont="1" applyFill="1" applyBorder="1" applyAlignment="1">
      <alignment horizontal="right" vertical="center" indent="1"/>
    </xf>
    <xf numFmtId="4" fontId="54" fillId="2" borderId="105" xfId="1" applyNumberFormat="1" applyFont="1" applyFill="1" applyBorder="1" applyAlignment="1">
      <alignment horizontal="right" vertical="center" wrapText="1" indent="1"/>
    </xf>
    <xf numFmtId="170" fontId="54" fillId="2" borderId="105" xfId="0" applyNumberFormat="1" applyFont="1" applyFill="1" applyBorder="1" applyAlignment="1">
      <alignment horizontal="right" vertical="center" indent="1"/>
    </xf>
    <xf numFmtId="179" fontId="54" fillId="2" borderId="105" xfId="0" applyNumberFormat="1" applyFont="1" applyFill="1" applyBorder="1" applyAlignment="1">
      <alignment horizontal="right" vertical="center" indent="1"/>
    </xf>
    <xf numFmtId="0" fontId="54" fillId="2" borderId="105" xfId="12" applyFont="1" applyFill="1" applyBorder="1" applyAlignment="1">
      <alignment horizontal="left" vertical="center" wrapText="1" indent="1"/>
    </xf>
    <xf numFmtId="0" fontId="54" fillId="0" borderId="105" xfId="1" applyFont="1" applyFill="1" applyBorder="1" applyAlignment="1">
      <alignment horizontal="left" vertical="center" wrapText="1" indent="1"/>
    </xf>
    <xf numFmtId="179" fontId="54" fillId="2" borderId="31" xfId="12" applyNumberFormat="1" applyFont="1" applyFill="1" applyBorder="1" applyAlignment="1">
      <alignment horizontal="right" vertical="center" indent="1"/>
    </xf>
    <xf numFmtId="0" fontId="53" fillId="17" borderId="105" xfId="1" applyFont="1" applyFill="1" applyBorder="1" applyAlignment="1">
      <alignment vertical="center" wrapText="1"/>
    </xf>
    <xf numFmtId="0" fontId="40" fillId="17" borderId="105" xfId="1" applyFont="1" applyFill="1" applyBorder="1" applyAlignment="1">
      <alignment horizontal="left" vertical="center" indent="1"/>
    </xf>
    <xf numFmtId="170" fontId="40" fillId="17" borderId="105" xfId="1" applyNumberFormat="1" applyFont="1" applyFill="1" applyBorder="1" applyAlignment="1">
      <alignment horizontal="right" vertical="center" indent="1"/>
    </xf>
    <xf numFmtId="179" fontId="40" fillId="17" borderId="105" xfId="1" applyNumberFormat="1" applyFont="1" applyFill="1" applyBorder="1" applyAlignment="1">
      <alignment horizontal="right" vertical="center" indent="1"/>
    </xf>
    <xf numFmtId="170" fontId="54" fillId="19" borderId="105" xfId="12" applyNumberFormat="1" applyFont="1" applyFill="1" applyBorder="1" applyAlignment="1">
      <alignment horizontal="right" vertical="center" indent="1"/>
    </xf>
    <xf numFmtId="179" fontId="54" fillId="19" borderId="105" xfId="12" applyNumberFormat="1" applyFont="1" applyFill="1" applyBorder="1" applyAlignment="1">
      <alignment horizontal="right" vertical="center" indent="1"/>
    </xf>
    <xf numFmtId="164" fontId="55" fillId="20" borderId="105" xfId="12" applyNumberFormat="1" applyFont="1" applyFill="1" applyBorder="1" applyAlignment="1">
      <alignment vertical="center"/>
    </xf>
    <xf numFmtId="170" fontId="40" fillId="21" borderId="105" xfId="1" applyNumberFormat="1" applyFont="1" applyFill="1" applyBorder="1" applyAlignment="1">
      <alignment horizontal="right" vertical="center" indent="1"/>
    </xf>
    <xf numFmtId="179" fontId="40" fillId="21" borderId="105" xfId="1" applyNumberFormat="1" applyFont="1" applyFill="1" applyBorder="1" applyAlignment="1">
      <alignment horizontal="right" vertical="center" indent="1"/>
    </xf>
    <xf numFmtId="4" fontId="54" fillId="2" borderId="105" xfId="12" applyNumberFormat="1" applyFont="1" applyFill="1" applyBorder="1" applyAlignment="1">
      <alignment horizontal="right" vertical="center" indent="1"/>
    </xf>
    <xf numFmtId="170" fontId="40" fillId="17" borderId="105" xfId="12" applyNumberFormat="1" applyFont="1" applyFill="1" applyBorder="1" applyAlignment="1">
      <alignment horizontal="right" vertical="center" indent="1"/>
    </xf>
    <xf numFmtId="179" fontId="40" fillId="17" borderId="105" xfId="12" applyNumberFormat="1" applyFont="1" applyFill="1" applyBorder="1" applyAlignment="1">
      <alignment horizontal="right" vertical="center" indent="1"/>
    </xf>
    <xf numFmtId="170" fontId="40" fillId="17" borderId="105" xfId="0" applyNumberFormat="1" applyFont="1" applyFill="1" applyBorder="1" applyAlignment="1">
      <alignment horizontal="right" vertical="center" indent="1"/>
    </xf>
    <xf numFmtId="179" fontId="40" fillId="17" borderId="105" xfId="0" applyNumberFormat="1" applyFont="1" applyFill="1" applyBorder="1" applyAlignment="1">
      <alignment horizontal="right" vertical="center" indent="1"/>
    </xf>
    <xf numFmtId="164" fontId="53" fillId="18" borderId="105" xfId="12" applyNumberFormat="1" applyFont="1" applyFill="1" applyBorder="1" applyAlignment="1">
      <alignment vertical="center" wrapText="1"/>
    </xf>
    <xf numFmtId="164" fontId="53" fillId="20" borderId="105" xfId="12" applyNumberFormat="1" applyFont="1" applyFill="1" applyBorder="1" applyAlignment="1">
      <alignment vertical="center" wrapText="1"/>
    </xf>
    <xf numFmtId="0" fontId="54" fillId="2" borderId="105" xfId="12" applyFont="1" applyFill="1" applyBorder="1" applyAlignment="1">
      <alignment horizontal="left" vertical="center" indent="1"/>
    </xf>
    <xf numFmtId="0" fontId="54" fillId="22" borderId="105" xfId="1" applyFont="1" applyFill="1" applyBorder="1" applyAlignment="1">
      <alignment horizontal="left" vertical="center" wrapText="1" indent="1"/>
    </xf>
    <xf numFmtId="0" fontId="54" fillId="22" borderId="106" xfId="1" applyFont="1" applyFill="1" applyBorder="1" applyAlignment="1">
      <alignment horizontal="left" vertical="center" wrapText="1" indent="1"/>
    </xf>
    <xf numFmtId="0" fontId="54" fillId="2" borderId="106" xfId="12" applyFont="1" applyFill="1" applyBorder="1" applyAlignment="1">
      <alignment horizontal="left" vertical="center" wrapText="1" indent="1"/>
    </xf>
    <xf numFmtId="0" fontId="54" fillId="2" borderId="105" xfId="1" applyFont="1" applyFill="1" applyBorder="1" applyAlignment="1">
      <alignment horizontal="left" vertical="center" indent="1"/>
    </xf>
    <xf numFmtId="164" fontId="53" fillId="17" borderId="105" xfId="12" applyNumberFormat="1" applyFont="1" applyFill="1" applyBorder="1" applyAlignment="1">
      <alignment vertical="center" wrapText="1"/>
    </xf>
    <xf numFmtId="170" fontId="15" fillId="2" borderId="105" xfId="12" applyNumberFormat="1" applyFont="1" applyFill="1" applyBorder="1" applyAlignment="1">
      <alignment horizontal="right" vertical="center" indent="1"/>
    </xf>
    <xf numFmtId="179" fontId="15" fillId="2" borderId="105" xfId="12" applyNumberFormat="1" applyFont="1" applyFill="1" applyBorder="1" applyAlignment="1">
      <alignment horizontal="right" vertical="center" indent="1"/>
    </xf>
    <xf numFmtId="0" fontId="53" fillId="17" borderId="105" xfId="12" applyFont="1" applyFill="1" applyBorder="1" applyAlignment="1">
      <alignment vertical="center" wrapText="1"/>
    </xf>
    <xf numFmtId="179" fontId="54" fillId="22" borderId="105" xfId="1" applyNumberFormat="1" applyFont="1" applyFill="1" applyBorder="1" applyAlignment="1">
      <alignment horizontal="right" vertical="center" indent="1"/>
    </xf>
    <xf numFmtId="0" fontId="54" fillId="2" borderId="105" xfId="0" applyFont="1" applyFill="1" applyBorder="1" applyAlignment="1">
      <alignment horizontal="left" vertical="center" wrapText="1" indent="1"/>
    </xf>
    <xf numFmtId="164" fontId="54" fillId="18" borderId="105" xfId="12" applyNumberFormat="1" applyFont="1" applyFill="1" applyBorder="1" applyAlignment="1">
      <alignment horizontal="left" vertical="center" wrapText="1" indent="1"/>
    </xf>
    <xf numFmtId="179" fontId="54" fillId="2" borderId="106" xfId="12" applyNumberFormat="1" applyFont="1" applyFill="1" applyBorder="1" applyAlignment="1">
      <alignment horizontal="right" vertical="center" indent="1"/>
    </xf>
    <xf numFmtId="0" fontId="54" fillId="2" borderId="106" xfId="1" applyFont="1" applyFill="1" applyBorder="1" applyAlignment="1">
      <alignment horizontal="left" vertical="center" wrapText="1" indent="1"/>
    </xf>
    <xf numFmtId="170" fontId="40" fillId="23" borderId="105" xfId="12" applyNumberFormat="1" applyFont="1" applyFill="1" applyBorder="1" applyAlignment="1">
      <alignment horizontal="right" vertical="center" indent="1"/>
    </xf>
    <xf numFmtId="179" fontId="40" fillId="23" borderId="105" xfId="12" applyNumberFormat="1" applyFont="1" applyFill="1" applyBorder="1" applyAlignment="1">
      <alignment horizontal="right" vertical="center" indent="1"/>
    </xf>
    <xf numFmtId="3" fontId="15" fillId="19" borderId="105" xfId="12" applyNumberFormat="1" applyFont="1" applyFill="1" applyBorder="1" applyAlignment="1">
      <alignment horizontal="right" vertical="center" indent="1"/>
    </xf>
    <xf numFmtId="4" fontId="15" fillId="19" borderId="105" xfId="12" applyNumberFormat="1" applyFont="1" applyFill="1" applyBorder="1" applyAlignment="1">
      <alignment horizontal="right" vertical="center" indent="1"/>
    </xf>
    <xf numFmtId="3" fontId="15" fillId="2" borderId="105" xfId="0" applyNumberFormat="1" applyFont="1" applyFill="1" applyBorder="1" applyAlignment="1">
      <alignment horizontal="right" vertical="center" indent="1"/>
    </xf>
    <xf numFmtId="4" fontId="15" fillId="2" borderId="105" xfId="0" applyNumberFormat="1" applyFont="1" applyFill="1" applyBorder="1" applyAlignment="1">
      <alignment horizontal="right" vertical="center" indent="1"/>
    </xf>
    <xf numFmtId="0" fontId="54" fillId="2" borderId="109" xfId="12" applyFont="1" applyFill="1" applyBorder="1" applyAlignment="1">
      <alignment horizontal="left" vertical="center" wrapText="1" indent="1"/>
    </xf>
    <xf numFmtId="179" fontId="54" fillId="2" borderId="107" xfId="12" applyNumberFormat="1" applyFont="1" applyFill="1" applyBorder="1" applyAlignment="1">
      <alignment horizontal="right" vertical="center" indent="1"/>
    </xf>
    <xf numFmtId="170" fontId="57" fillId="6" borderId="62" xfId="1" applyNumberFormat="1" applyFont="1" applyFill="1" applyBorder="1" applyAlignment="1">
      <alignment horizontal="right" vertical="center" indent="1"/>
    </xf>
    <xf numFmtId="0" fontId="1" fillId="2" borderId="0" xfId="0" applyFont="1" applyFill="1"/>
    <xf numFmtId="0" fontId="0" fillId="0" borderId="0" xfId="0" applyAlignment="1">
      <alignment horizontal="right" indent="1"/>
    </xf>
    <xf numFmtId="4" fontId="57" fillId="6" borderId="62" xfId="1" applyNumberFormat="1" applyFont="1" applyFill="1" applyBorder="1" applyAlignment="1">
      <alignment horizontal="center" vertical="center"/>
    </xf>
    <xf numFmtId="0" fontId="52" fillId="0" borderId="110" xfId="1" applyFont="1" applyFill="1" applyBorder="1" applyAlignment="1">
      <alignment horizontal="center" vertical="center" wrapText="1"/>
    </xf>
    <xf numFmtId="0" fontId="52" fillId="0" borderId="110" xfId="1" applyFont="1" applyFill="1" applyBorder="1" applyAlignment="1">
      <alignment horizontal="left" vertical="center"/>
    </xf>
    <xf numFmtId="0" fontId="52" fillId="0" borderId="110" xfId="1" applyFont="1" applyFill="1" applyBorder="1" applyAlignment="1">
      <alignment horizontal="center" vertical="center"/>
    </xf>
    <xf numFmtId="0" fontId="57" fillId="24" borderId="110" xfId="1" applyFont="1" applyFill="1" applyBorder="1" applyAlignment="1">
      <alignment horizontal="center" vertical="center" wrapText="1"/>
    </xf>
    <xf numFmtId="4" fontId="57" fillId="24" borderId="110" xfId="1" applyNumberFormat="1" applyFont="1" applyFill="1" applyBorder="1" applyAlignment="1">
      <alignment horizontal="left" vertical="center"/>
    </xf>
    <xf numFmtId="3" fontId="57" fillId="24" borderId="110" xfId="1" applyNumberFormat="1" applyFont="1" applyFill="1" applyBorder="1" applyAlignment="1">
      <alignment horizontal="right" vertical="center" indent="1"/>
    </xf>
    <xf numFmtId="4" fontId="57" fillId="24" borderId="110" xfId="1" applyNumberFormat="1" applyFont="1" applyFill="1" applyBorder="1" applyAlignment="1">
      <alignment horizontal="right" vertical="center" indent="1"/>
    </xf>
    <xf numFmtId="4" fontId="57" fillId="6" borderId="110" xfId="12" applyNumberFormat="1" applyFont="1" applyFill="1" applyBorder="1" applyAlignment="1">
      <alignment horizontal="right" vertical="center" indent="1"/>
    </xf>
    <xf numFmtId="0" fontId="55" fillId="22" borderId="110" xfId="1" applyFont="1" applyFill="1" applyBorder="1" applyAlignment="1">
      <alignment horizontal="center" vertical="center" wrapText="1"/>
    </xf>
    <xf numFmtId="0" fontId="55" fillId="24" borderId="110" xfId="1" applyFont="1" applyFill="1" applyBorder="1" applyAlignment="1">
      <alignment horizontal="left" vertical="center"/>
    </xf>
    <xf numFmtId="3" fontId="55" fillId="24" borderId="110" xfId="1" applyNumberFormat="1" applyFont="1" applyFill="1" applyBorder="1" applyAlignment="1">
      <alignment horizontal="right" vertical="center" indent="1"/>
    </xf>
    <xf numFmtId="4" fontId="55" fillId="24" borderId="110" xfId="1" applyNumberFormat="1" applyFont="1" applyFill="1" applyBorder="1" applyAlignment="1">
      <alignment horizontal="right" vertical="center" indent="1"/>
    </xf>
    <xf numFmtId="4" fontId="55" fillId="6" borderId="110" xfId="11" applyNumberFormat="1" applyFont="1" applyFill="1" applyBorder="1" applyAlignment="1">
      <alignment horizontal="right" vertical="center" indent="1"/>
    </xf>
    <xf numFmtId="0" fontId="54" fillId="2" borderId="110" xfId="12" applyFont="1" applyFill="1" applyBorder="1" applyAlignment="1">
      <alignment horizontal="left" vertical="center"/>
    </xf>
    <xf numFmtId="0" fontId="55" fillId="2" borderId="110" xfId="12" applyFont="1" applyFill="1" applyBorder="1" applyAlignment="1">
      <alignment horizontal="left" vertical="center"/>
    </xf>
    <xf numFmtId="164" fontId="55" fillId="18" borderId="110" xfId="12" applyNumberFormat="1" applyFont="1" applyFill="1" applyBorder="1" applyAlignment="1">
      <alignment horizontal="left" vertical="center"/>
    </xf>
    <xf numFmtId="170" fontId="53" fillId="22" borderId="110" xfId="1" applyNumberFormat="1" applyFont="1" applyFill="1" applyBorder="1" applyAlignment="1">
      <alignment horizontal="right" vertical="center" indent="1"/>
    </xf>
    <xf numFmtId="4" fontId="53" fillId="22" borderId="110" xfId="1" applyNumberFormat="1" applyFont="1" applyFill="1" applyBorder="1" applyAlignment="1">
      <alignment horizontal="right" vertical="center" indent="1"/>
    </xf>
    <xf numFmtId="4" fontId="53" fillId="2" borderId="110" xfId="11" applyNumberFormat="1" applyFont="1" applyFill="1" applyBorder="1" applyAlignment="1">
      <alignment horizontal="right" vertical="center" indent="1"/>
    </xf>
    <xf numFmtId="164" fontId="56" fillId="18" borderId="110" xfId="12" applyNumberFormat="1" applyFont="1" applyFill="1" applyBorder="1" applyAlignment="1">
      <alignment horizontal="left" vertical="center" wrapText="1"/>
    </xf>
    <xf numFmtId="170" fontId="54" fillId="22" borderId="110" xfId="1" applyNumberFormat="1" applyFont="1" applyFill="1" applyBorder="1" applyAlignment="1">
      <alignment horizontal="right" vertical="center" indent="1"/>
    </xf>
    <xf numFmtId="4" fontId="54" fillId="22" borderId="110" xfId="1" applyNumberFormat="1" applyFont="1" applyFill="1" applyBorder="1" applyAlignment="1">
      <alignment horizontal="right" vertical="center" indent="1"/>
    </xf>
    <xf numFmtId="4" fontId="54" fillId="2" borderId="110" xfId="11" applyNumberFormat="1" applyFont="1" applyFill="1" applyBorder="1" applyAlignment="1">
      <alignment horizontal="right" vertical="center" indent="1"/>
    </xf>
    <xf numFmtId="164" fontId="56" fillId="18" borderId="110" xfId="12" applyNumberFormat="1" applyFont="1" applyFill="1" applyBorder="1" applyAlignment="1">
      <alignment horizontal="left" vertical="center"/>
    </xf>
    <xf numFmtId="0" fontId="55" fillId="22" borderId="110" xfId="1" applyFont="1" applyFill="1" applyBorder="1" applyAlignment="1">
      <alignment horizontal="left" vertical="center" wrapText="1"/>
    </xf>
    <xf numFmtId="170" fontId="54" fillId="2" borderId="110" xfId="12" applyNumberFormat="1" applyFont="1" applyFill="1" applyBorder="1" applyAlignment="1">
      <alignment horizontal="right" vertical="center" indent="1"/>
    </xf>
    <xf numFmtId="4" fontId="54" fillId="2" borderId="110" xfId="12" applyNumberFormat="1" applyFont="1" applyFill="1" applyBorder="1" applyAlignment="1">
      <alignment horizontal="right" vertical="center" indent="1"/>
    </xf>
    <xf numFmtId="0" fontId="55" fillId="2" borderId="110" xfId="0" applyFont="1" applyFill="1" applyBorder="1" applyAlignment="1">
      <alignment horizontal="left" vertical="center" wrapText="1"/>
    </xf>
    <xf numFmtId="0" fontId="54" fillId="2" borderId="110" xfId="0" applyFont="1" applyFill="1" applyBorder="1" applyAlignment="1">
      <alignment horizontal="left" vertical="center" wrapText="1"/>
    </xf>
    <xf numFmtId="0" fontId="55" fillId="2" borderId="110" xfId="1" applyFont="1" applyFill="1" applyBorder="1" applyAlignment="1">
      <alignment horizontal="left" vertical="center" wrapText="1"/>
    </xf>
    <xf numFmtId="164" fontId="54" fillId="18" borderId="110" xfId="12" applyNumberFormat="1" applyFont="1" applyFill="1" applyBorder="1" applyAlignment="1">
      <alignment horizontal="left" vertical="center"/>
    </xf>
    <xf numFmtId="0" fontId="54" fillId="2" borderId="110" xfId="1" applyFont="1" applyFill="1" applyBorder="1" applyAlignment="1">
      <alignment horizontal="left" vertical="center" wrapText="1"/>
    </xf>
    <xf numFmtId="0" fontId="54" fillId="2" borderId="110" xfId="12" applyFont="1" applyFill="1" applyBorder="1" applyAlignment="1">
      <alignment vertical="center"/>
    </xf>
    <xf numFmtId="180" fontId="53" fillId="18" borderId="110" xfId="12" applyNumberFormat="1" applyFont="1" applyFill="1" applyBorder="1" applyAlignment="1">
      <alignment horizontal="left" vertical="center"/>
    </xf>
    <xf numFmtId="0" fontId="55" fillId="2" borderId="110" xfId="1" applyFont="1" applyFill="1" applyBorder="1" applyAlignment="1">
      <alignment vertical="center" wrapText="1"/>
    </xf>
    <xf numFmtId="170" fontId="54" fillId="19" borderId="110" xfId="12" applyNumberFormat="1" applyFont="1" applyFill="1" applyBorder="1" applyAlignment="1">
      <alignment horizontal="right" vertical="center" indent="1"/>
    </xf>
    <xf numFmtId="4" fontId="54" fillId="19" borderId="110" xfId="12" applyNumberFormat="1" applyFont="1" applyFill="1" applyBorder="1" applyAlignment="1">
      <alignment horizontal="right" vertical="center" indent="1"/>
    </xf>
    <xf numFmtId="180" fontId="55" fillId="18" borderId="110" xfId="12" applyNumberFormat="1" applyFont="1" applyFill="1" applyBorder="1" applyAlignment="1">
      <alignment horizontal="left" vertical="center"/>
    </xf>
    <xf numFmtId="181" fontId="55" fillId="18" borderId="110" xfId="12" applyNumberFormat="1" applyFont="1" applyFill="1" applyBorder="1" applyAlignment="1">
      <alignment horizontal="left" vertical="center"/>
    </xf>
    <xf numFmtId="0" fontId="59" fillId="2" borderId="110" xfId="12" applyFont="1" applyFill="1" applyBorder="1" applyAlignment="1">
      <alignment vertical="center"/>
    </xf>
    <xf numFmtId="164" fontId="60" fillId="25" borderId="110" xfId="12" applyNumberFormat="1" applyFont="1" applyFill="1" applyBorder="1" applyAlignment="1">
      <alignment horizontal="left" vertical="center"/>
    </xf>
    <xf numFmtId="170" fontId="57" fillId="6" borderId="110" xfId="12" applyNumberFormat="1" applyFont="1" applyFill="1" applyBorder="1" applyAlignment="1">
      <alignment horizontal="right" vertical="center" indent="1"/>
    </xf>
    <xf numFmtId="4" fontId="57" fillId="6" borderId="110" xfId="11" applyNumberFormat="1" applyFont="1" applyFill="1" applyBorder="1" applyAlignment="1">
      <alignment horizontal="right" vertical="center" indent="1"/>
    </xf>
    <xf numFmtId="0" fontId="59" fillId="2" borderId="110" xfId="1" applyFont="1" applyFill="1" applyBorder="1" applyAlignment="1">
      <alignment horizontal="left" vertical="center" wrapText="1"/>
    </xf>
    <xf numFmtId="164" fontId="40" fillId="18" borderId="110" xfId="12" applyNumberFormat="1" applyFont="1" applyFill="1" applyBorder="1" applyAlignment="1">
      <alignment horizontal="left" vertical="center"/>
    </xf>
    <xf numFmtId="170" fontId="53" fillId="2" borderId="110" xfId="12" applyNumberFormat="1" applyFont="1" applyFill="1" applyBorder="1" applyAlignment="1">
      <alignment horizontal="right" vertical="center" indent="1"/>
    </xf>
    <xf numFmtId="4" fontId="53" fillId="2" borderId="110" xfId="12" applyNumberFormat="1" applyFont="1" applyFill="1" applyBorder="1" applyAlignment="1">
      <alignment horizontal="right" vertical="center" indent="1"/>
    </xf>
    <xf numFmtId="0" fontId="59" fillId="2" borderId="110" xfId="12" applyFont="1" applyFill="1" applyBorder="1" applyAlignment="1">
      <alignment horizontal="center" vertical="center"/>
    </xf>
    <xf numFmtId="0" fontId="55" fillId="2" borderId="110" xfId="12" applyFont="1" applyFill="1" applyBorder="1" applyAlignment="1">
      <alignment horizontal="left" vertical="center" wrapText="1"/>
    </xf>
    <xf numFmtId="0" fontId="56" fillId="2" borderId="110" xfId="12" applyFont="1" applyFill="1" applyBorder="1" applyAlignment="1">
      <alignment horizontal="left" vertical="center" wrapText="1"/>
    </xf>
    <xf numFmtId="0" fontId="54" fillId="2" borderId="110" xfId="12" applyFont="1" applyFill="1" applyBorder="1" applyAlignment="1">
      <alignment horizontal="left" vertical="center" wrapText="1"/>
    </xf>
    <xf numFmtId="3" fontId="53" fillId="25" borderId="110" xfId="12" applyNumberFormat="1" applyFont="1" applyFill="1" applyBorder="1" applyAlignment="1">
      <alignment horizontal="left" vertical="center"/>
    </xf>
    <xf numFmtId="170" fontId="57" fillId="6" borderId="110" xfId="1" applyNumberFormat="1" applyFont="1" applyFill="1" applyBorder="1" applyAlignment="1">
      <alignment horizontal="right" vertical="center" indent="1"/>
    </xf>
    <xf numFmtId="4" fontId="57" fillId="6" borderId="110" xfId="1" applyNumberFormat="1" applyFont="1" applyFill="1" applyBorder="1" applyAlignment="1">
      <alignment horizontal="right" vertical="center" indent="1"/>
    </xf>
    <xf numFmtId="0" fontId="55" fillId="2" borderId="110" xfId="12" applyFont="1" applyFill="1" applyBorder="1" applyAlignment="1">
      <alignment vertical="center"/>
    </xf>
    <xf numFmtId="170" fontId="56" fillId="2" borderId="110" xfId="12" applyNumberFormat="1" applyFont="1" applyFill="1" applyBorder="1" applyAlignment="1">
      <alignment horizontal="center" vertical="center"/>
    </xf>
    <xf numFmtId="170" fontId="55" fillId="2" borderId="110" xfId="12" applyNumberFormat="1" applyFont="1" applyFill="1" applyBorder="1" applyAlignment="1">
      <alignment vertical="center"/>
    </xf>
    <xf numFmtId="170" fontId="59" fillId="2" borderId="110" xfId="12" applyNumberFormat="1" applyFont="1" applyFill="1" applyBorder="1" applyAlignment="1">
      <alignment horizontal="right" vertical="center" indent="1"/>
    </xf>
    <xf numFmtId="0" fontId="56" fillId="2" borderId="110" xfId="1" applyFont="1" applyFill="1" applyBorder="1" applyAlignment="1">
      <alignment horizontal="left" vertical="center" wrapText="1"/>
    </xf>
    <xf numFmtId="3" fontId="54" fillId="2" borderId="110" xfId="0" applyNumberFormat="1" applyFont="1" applyFill="1" applyBorder="1" applyAlignment="1">
      <alignment horizontal="right" vertical="center" indent="1"/>
    </xf>
    <xf numFmtId="4" fontId="54" fillId="2" borderId="110" xfId="0" applyNumberFormat="1" applyFont="1" applyFill="1" applyBorder="1" applyAlignment="1">
      <alignment horizontal="right" vertical="center" indent="1"/>
    </xf>
    <xf numFmtId="0" fontId="52" fillId="2" borderId="110" xfId="12" applyFont="1" applyFill="1" applyBorder="1" applyAlignment="1">
      <alignment horizontal="center" vertical="center"/>
    </xf>
    <xf numFmtId="0" fontId="53" fillId="2" borderId="110" xfId="12" applyFont="1" applyFill="1" applyBorder="1" applyAlignment="1">
      <alignment horizontal="left" vertical="center"/>
    </xf>
    <xf numFmtId="0" fontId="59" fillId="2" borderId="110" xfId="12" applyFont="1" applyFill="1" applyBorder="1" applyAlignment="1">
      <alignment horizontal="left" vertical="center"/>
    </xf>
    <xf numFmtId="0" fontId="55" fillId="2" borderId="110" xfId="12" applyFont="1" applyFill="1" applyBorder="1" applyAlignment="1">
      <alignment horizontal="center" vertical="center"/>
    </xf>
    <xf numFmtId="164" fontId="53" fillId="18" borderId="110" xfId="12" applyNumberFormat="1" applyFont="1" applyFill="1" applyBorder="1" applyAlignment="1">
      <alignment horizontal="left" vertical="center"/>
    </xf>
    <xf numFmtId="164" fontId="56" fillId="2" borderId="110" xfId="12" applyNumberFormat="1" applyFont="1" applyFill="1" applyBorder="1" applyAlignment="1">
      <alignment horizontal="left" vertical="center" wrapText="1"/>
    </xf>
    <xf numFmtId="0" fontId="61" fillId="2" borderId="110" xfId="12" applyFont="1" applyFill="1" applyBorder="1"/>
    <xf numFmtId="0" fontId="55" fillId="22" borderId="110" xfId="1" applyFont="1" applyFill="1" applyBorder="1" applyAlignment="1">
      <alignment vertical="center" wrapText="1"/>
    </xf>
    <xf numFmtId="3" fontId="56" fillId="22" borderId="110" xfId="12" applyNumberFormat="1" applyFont="1" applyFill="1" applyBorder="1" applyAlignment="1">
      <alignment horizontal="left" vertical="center"/>
    </xf>
    <xf numFmtId="0" fontId="59" fillId="22" borderId="110" xfId="1" applyFont="1" applyFill="1" applyBorder="1" applyAlignment="1">
      <alignment vertical="center" wrapText="1"/>
    </xf>
    <xf numFmtId="3" fontId="56" fillId="22" borderId="110" xfId="1" applyNumberFormat="1" applyFont="1" applyFill="1" applyBorder="1" applyAlignment="1">
      <alignment horizontal="left" vertical="center"/>
    </xf>
    <xf numFmtId="3" fontId="56" fillId="25" borderId="110" xfId="12" applyNumberFormat="1" applyFont="1" applyFill="1" applyBorder="1" applyAlignment="1">
      <alignment horizontal="left" vertical="center"/>
    </xf>
    <xf numFmtId="0" fontId="52" fillId="2" borderId="110" xfId="12" quotePrefix="1" applyFont="1" applyFill="1" applyBorder="1" applyAlignment="1">
      <alignment vertical="center"/>
    </xf>
    <xf numFmtId="0" fontId="53" fillId="2" borderId="110" xfId="1" applyFont="1" applyFill="1" applyBorder="1" applyAlignment="1">
      <alignment horizontal="left" vertical="center" wrapText="1"/>
    </xf>
    <xf numFmtId="3" fontId="56" fillId="18" borderId="110" xfId="12" applyNumberFormat="1" applyFont="1" applyFill="1" applyBorder="1" applyAlignment="1">
      <alignment horizontal="left" vertical="center"/>
    </xf>
    <xf numFmtId="170" fontId="53" fillId="2" borderId="110" xfId="1" applyNumberFormat="1" applyFont="1" applyFill="1" applyBorder="1" applyAlignment="1">
      <alignment horizontal="right" vertical="center" indent="1"/>
    </xf>
    <xf numFmtId="4" fontId="53" fillId="2" borderId="110" xfId="1" applyNumberFormat="1" applyFont="1" applyFill="1" applyBorder="1" applyAlignment="1">
      <alignment horizontal="right" vertical="center" indent="1"/>
    </xf>
    <xf numFmtId="3" fontId="56" fillId="18" borderId="110" xfId="12" applyNumberFormat="1" applyFont="1" applyFill="1" applyBorder="1" applyAlignment="1">
      <alignment horizontal="left" vertical="center" wrapText="1"/>
    </xf>
    <xf numFmtId="170" fontId="54" fillId="2" borderId="110" xfId="1" applyNumberFormat="1" applyFont="1" applyFill="1" applyBorder="1" applyAlignment="1">
      <alignment horizontal="right" vertical="center" indent="1"/>
    </xf>
    <xf numFmtId="4" fontId="54" fillId="2" borderId="110" xfId="1" applyNumberFormat="1" applyFont="1" applyFill="1" applyBorder="1" applyAlignment="1">
      <alignment horizontal="right" vertical="center" indent="1"/>
    </xf>
    <xf numFmtId="164" fontId="53" fillId="2" borderId="110" xfId="12" applyNumberFormat="1" applyFont="1" applyFill="1" applyBorder="1" applyAlignment="1">
      <alignment horizontal="left" vertical="center"/>
    </xf>
    <xf numFmtId="0" fontId="53" fillId="2" borderId="110" xfId="12" applyFont="1" applyFill="1" applyBorder="1" applyAlignment="1">
      <alignment horizontal="left" vertical="center" wrapText="1"/>
    </xf>
    <xf numFmtId="170" fontId="54" fillId="2" borderId="110" xfId="0" applyNumberFormat="1" applyFont="1" applyFill="1" applyBorder="1" applyAlignment="1">
      <alignment horizontal="right" vertical="center" indent="1"/>
    </xf>
    <xf numFmtId="0" fontId="53" fillId="2" borderId="110" xfId="1" applyFont="1" applyFill="1" applyBorder="1" applyAlignment="1">
      <alignment vertical="center" wrapText="1"/>
    </xf>
    <xf numFmtId="0" fontId="54" fillId="2" borderId="110" xfId="1" applyFont="1" applyFill="1" applyBorder="1" applyAlignment="1">
      <alignment vertical="center" wrapText="1"/>
    </xf>
    <xf numFmtId="0" fontId="53" fillId="2" borderId="110" xfId="12" applyFont="1" applyFill="1" applyBorder="1" applyAlignment="1">
      <alignment vertical="center" wrapText="1"/>
    </xf>
    <xf numFmtId="0" fontId="54" fillId="2" borderId="110" xfId="12" applyFont="1" applyFill="1" applyBorder="1" applyAlignment="1">
      <alignment vertical="center" wrapText="1"/>
    </xf>
    <xf numFmtId="3" fontId="56" fillId="24" borderId="110" xfId="12" applyNumberFormat="1" applyFont="1" applyFill="1" applyBorder="1" applyAlignment="1">
      <alignment horizontal="left" vertical="center"/>
    </xf>
    <xf numFmtId="170" fontId="57" fillId="24" borderId="110" xfId="1" applyNumberFormat="1" applyFont="1" applyFill="1" applyBorder="1" applyAlignment="1">
      <alignment horizontal="right" vertical="center" indent="1"/>
    </xf>
    <xf numFmtId="179" fontId="57" fillId="24" borderId="110" xfId="1" applyNumberFormat="1" applyFont="1" applyFill="1" applyBorder="1" applyAlignment="1">
      <alignment horizontal="right" vertical="center" indent="1"/>
    </xf>
    <xf numFmtId="0" fontId="57" fillId="22" borderId="111" xfId="1" applyFont="1" applyFill="1" applyBorder="1" applyAlignment="1">
      <alignment horizontal="left" vertical="center" wrapText="1"/>
    </xf>
    <xf numFmtId="0" fontId="62" fillId="2" borderId="110" xfId="0" applyFont="1" applyFill="1" applyBorder="1"/>
    <xf numFmtId="0" fontId="52" fillId="2" borderId="110" xfId="1" applyFont="1" applyFill="1" applyBorder="1" applyAlignment="1">
      <alignment horizontal="left" vertical="center" wrapText="1"/>
    </xf>
    <xf numFmtId="164" fontId="53" fillId="18" borderId="110" xfId="12" applyNumberFormat="1" applyFont="1" applyFill="1" applyBorder="1" applyAlignment="1">
      <alignment horizontal="left" vertical="center" wrapText="1"/>
    </xf>
    <xf numFmtId="170" fontId="56" fillId="2" borderId="110" xfId="12" applyNumberFormat="1" applyFont="1" applyFill="1" applyBorder="1" applyAlignment="1">
      <alignment horizontal="right" vertical="center" indent="1"/>
    </xf>
    <xf numFmtId="4" fontId="56" fillId="2" borderId="110" xfId="12" applyNumberFormat="1" applyFont="1" applyFill="1" applyBorder="1" applyAlignment="1">
      <alignment horizontal="right" vertical="center" indent="1"/>
    </xf>
    <xf numFmtId="0" fontId="1" fillId="2" borderId="110" xfId="0" applyFont="1" applyFill="1" applyBorder="1"/>
    <xf numFmtId="170" fontId="53" fillId="24" borderId="110" xfId="1" applyNumberFormat="1" applyFont="1" applyFill="1" applyBorder="1" applyAlignment="1">
      <alignment horizontal="left" vertical="center"/>
    </xf>
    <xf numFmtId="0" fontId="52" fillId="18" borderId="110" xfId="12" applyFont="1" applyFill="1" applyBorder="1" applyAlignment="1">
      <alignment horizontal="center" vertical="center"/>
    </xf>
    <xf numFmtId="0" fontId="59" fillId="2" borderId="110" xfId="12" applyFont="1" applyFill="1" applyBorder="1" applyAlignment="1">
      <alignment horizontal="left" vertical="center" wrapText="1"/>
    </xf>
    <xf numFmtId="3" fontId="60" fillId="6" borderId="110" xfId="12" applyNumberFormat="1" applyFont="1" applyFill="1" applyBorder="1" applyAlignment="1">
      <alignment horizontal="left" vertical="center"/>
    </xf>
    <xf numFmtId="0" fontId="59" fillId="2" borderId="110" xfId="1" applyFont="1" applyFill="1" applyBorder="1" applyAlignment="1"/>
    <xf numFmtId="0" fontId="57" fillId="6" borderId="110" xfId="1" applyFont="1" applyFill="1" applyBorder="1" applyAlignment="1">
      <alignment horizontal="center" vertical="center"/>
    </xf>
    <xf numFmtId="0" fontId="56" fillId="6" borderId="110" xfId="1" applyFont="1" applyFill="1" applyBorder="1" applyAlignment="1">
      <alignment horizontal="left" vertical="center"/>
    </xf>
    <xf numFmtId="0" fontId="59" fillId="2" borderId="110" xfId="12" applyFont="1" applyFill="1" applyBorder="1"/>
    <xf numFmtId="0" fontId="52" fillId="2" borderId="110" xfId="1" applyFont="1" applyFill="1" applyBorder="1" applyAlignment="1">
      <alignment horizontal="center" vertical="center" wrapText="1"/>
    </xf>
    <xf numFmtId="0" fontId="53" fillId="2" borderId="110" xfId="1" applyFont="1" applyFill="1" applyBorder="1" applyAlignment="1">
      <alignment horizontal="left" vertical="center"/>
    </xf>
    <xf numFmtId="0" fontId="59" fillId="0" borderId="110" xfId="12" applyFont="1" applyFill="1" applyBorder="1"/>
    <xf numFmtId="0" fontId="63" fillId="6" borderId="110" xfId="1" applyFont="1" applyFill="1" applyBorder="1" applyAlignment="1">
      <alignment horizontal="left" vertical="center"/>
    </xf>
    <xf numFmtId="0" fontId="56" fillId="2" borderId="110" xfId="1" applyFont="1" applyFill="1" applyBorder="1" applyAlignment="1">
      <alignment horizontal="left" vertical="center"/>
    </xf>
    <xf numFmtId="3" fontId="54" fillId="2" borderId="110" xfId="12" applyNumberFormat="1" applyFont="1" applyFill="1" applyBorder="1" applyAlignment="1">
      <alignment horizontal="right" vertical="center" indent="1"/>
    </xf>
    <xf numFmtId="0" fontId="60" fillId="6" borderId="110" xfId="1" applyFont="1" applyFill="1" applyBorder="1" applyAlignment="1">
      <alignment horizontal="left" vertical="center"/>
    </xf>
    <xf numFmtId="0" fontId="57" fillId="6" borderId="110" xfId="1" applyFont="1" applyFill="1" applyBorder="1" applyAlignment="1">
      <alignment horizontal="left" vertical="center"/>
    </xf>
    <xf numFmtId="0" fontId="59" fillId="0" borderId="110" xfId="12" applyFont="1" applyFill="1" applyBorder="1" applyAlignment="1"/>
    <xf numFmtId="0" fontId="52" fillId="2" borderId="110" xfId="1" applyFont="1" applyFill="1" applyBorder="1" applyAlignment="1">
      <alignment vertical="center" wrapText="1"/>
    </xf>
    <xf numFmtId="3" fontId="53" fillId="2" borderId="110" xfId="12" applyNumberFormat="1" applyFont="1" applyFill="1" applyBorder="1" applyAlignment="1">
      <alignment horizontal="right" vertical="center" indent="1"/>
    </xf>
    <xf numFmtId="0" fontId="57" fillId="6" borderId="110" xfId="12" applyFont="1" applyFill="1" applyBorder="1" applyAlignment="1">
      <alignment horizontal="center" vertical="center"/>
    </xf>
    <xf numFmtId="164" fontId="53" fillId="25" borderId="110" xfId="12" applyNumberFormat="1" applyFont="1" applyFill="1" applyBorder="1" applyAlignment="1">
      <alignment horizontal="left" vertical="center"/>
    </xf>
    <xf numFmtId="0" fontId="57" fillId="2" borderId="110" xfId="12" applyFont="1" applyFill="1" applyBorder="1" applyAlignment="1">
      <alignment horizontal="center" vertical="center"/>
    </xf>
    <xf numFmtId="0" fontId="57" fillId="2" borderId="110" xfId="12" applyFont="1" applyFill="1" applyBorder="1" applyAlignment="1">
      <alignment horizontal="left" vertical="center" wrapText="1"/>
    </xf>
    <xf numFmtId="0" fontId="53" fillId="6" borderId="110" xfId="1" applyFont="1" applyFill="1" applyBorder="1" applyAlignment="1">
      <alignment horizontal="left" vertical="center"/>
    </xf>
    <xf numFmtId="179" fontId="57" fillId="6" borderId="110" xfId="1" applyNumberFormat="1" applyFont="1" applyFill="1" applyBorder="1" applyAlignment="1">
      <alignment horizontal="right" vertical="center" indent="1"/>
    </xf>
    <xf numFmtId="0" fontId="52" fillId="2" borderId="110" xfId="1" applyFont="1" applyFill="1" applyBorder="1" applyAlignment="1">
      <alignment horizontal="left" vertical="center"/>
    </xf>
    <xf numFmtId="0" fontId="40" fillId="2" borderId="110" xfId="1" applyFont="1" applyFill="1" applyBorder="1" applyAlignment="1">
      <alignment horizontal="left" vertical="center" wrapText="1"/>
    </xf>
    <xf numFmtId="0" fontId="57" fillId="26" borderId="110" xfId="1" applyFont="1" applyFill="1" applyBorder="1" applyAlignment="1">
      <alignment horizontal="center" vertical="center"/>
    </xf>
    <xf numFmtId="0" fontId="52" fillId="2" borderId="110" xfId="1" applyFont="1" applyFill="1" applyBorder="1" applyAlignment="1">
      <alignment horizontal="center" vertical="center"/>
    </xf>
    <xf numFmtId="0" fontId="55" fillId="0" borderId="110" xfId="1" applyFont="1" applyFill="1" applyBorder="1" applyAlignment="1">
      <alignment horizontal="left" vertical="center" wrapText="1"/>
    </xf>
    <xf numFmtId="0" fontId="56" fillId="0" borderId="110" xfId="1" applyFont="1" applyFill="1" applyBorder="1" applyAlignment="1">
      <alignment horizontal="left" vertical="center" wrapText="1"/>
    </xf>
    <xf numFmtId="0" fontId="52" fillId="2" borderId="110" xfId="12" applyFont="1" applyFill="1" applyBorder="1"/>
    <xf numFmtId="0" fontId="64" fillId="0" borderId="110" xfId="1" applyFont="1" applyFill="1" applyBorder="1" applyAlignment="1">
      <alignment horizontal="left" vertical="center"/>
    </xf>
    <xf numFmtId="0" fontId="4" fillId="7" borderId="110" xfId="0" applyFont="1" applyFill="1" applyBorder="1" applyAlignment="1">
      <alignment horizontal="center" vertical="center" wrapText="1"/>
    </xf>
    <xf numFmtId="0" fontId="4" fillId="7" borderId="110" xfId="0" applyFont="1" applyFill="1" applyBorder="1" applyAlignment="1">
      <alignment horizontal="right" vertical="center" wrapText="1" indent="1"/>
    </xf>
    <xf numFmtId="0" fontId="2" fillId="0" borderId="110" xfId="0" applyFont="1" applyBorder="1" applyAlignment="1">
      <alignment horizontal="left"/>
    </xf>
    <xf numFmtId="0" fontId="2" fillId="0" borderId="31" xfId="0" applyFont="1" applyBorder="1"/>
    <xf numFmtId="3" fontId="23" fillId="2" borderId="110" xfId="0" applyNumberFormat="1" applyFont="1" applyFill="1" applyBorder="1" applyAlignment="1">
      <alignment horizontal="right" vertical="center" wrapText="1" indent="1"/>
    </xf>
    <xf numFmtId="4" fontId="23" fillId="2" borderId="110" xfId="0" applyNumberFormat="1" applyFont="1" applyFill="1" applyBorder="1" applyAlignment="1">
      <alignment horizontal="left" vertical="center" wrapText="1"/>
    </xf>
    <xf numFmtId="4" fontId="23" fillId="2" borderId="110" xfId="1" applyNumberFormat="1" applyFont="1" applyFill="1" applyBorder="1" applyAlignment="1">
      <alignment horizontal="right" vertical="center" indent="1"/>
    </xf>
    <xf numFmtId="0" fontId="4" fillId="2" borderId="110" xfId="0" applyFont="1" applyFill="1" applyBorder="1" applyAlignment="1">
      <alignment horizontal="center" vertical="center" wrapText="1"/>
    </xf>
    <xf numFmtId="3" fontId="8" fillId="2" borderId="110" xfId="0" applyNumberFormat="1" applyFont="1" applyFill="1" applyBorder="1" applyAlignment="1">
      <alignment horizontal="right" vertical="center" wrapText="1" indent="1"/>
    </xf>
    <xf numFmtId="4" fontId="8" fillId="2" borderId="110" xfId="0" applyNumberFormat="1" applyFont="1" applyFill="1" applyBorder="1" applyAlignment="1">
      <alignment horizontal="left" vertical="center" wrapText="1"/>
    </xf>
    <xf numFmtId="4" fontId="8" fillId="2" borderId="110" xfId="1" applyNumberFormat="1" applyFont="1" applyFill="1" applyBorder="1" applyAlignment="1">
      <alignment horizontal="right" vertical="center" indent="1"/>
    </xf>
    <xf numFmtId="0" fontId="18" fillId="2" borderId="110" xfId="0" applyFont="1" applyFill="1" applyBorder="1" applyAlignment="1">
      <alignment horizontal="left" vertical="center"/>
    </xf>
    <xf numFmtId="0" fontId="18" fillId="2" borderId="110" xfId="0" applyFont="1" applyFill="1" applyBorder="1" applyAlignment="1">
      <alignment vertical="center"/>
    </xf>
    <xf numFmtId="0" fontId="17" fillId="2" borderId="110" xfId="0" applyFont="1" applyFill="1" applyBorder="1" applyAlignment="1">
      <alignment horizontal="center" vertical="center" wrapText="1"/>
    </xf>
    <xf numFmtId="0" fontId="17" fillId="2" borderId="110" xfId="0" applyFont="1" applyFill="1" applyBorder="1" applyAlignment="1">
      <alignment horizontal="left" vertical="center" wrapText="1" indent="1"/>
    </xf>
    <xf numFmtId="3" fontId="17" fillId="2" borderId="110" xfId="0" applyNumberFormat="1" applyFont="1" applyFill="1" applyBorder="1" applyAlignment="1">
      <alignment horizontal="center" vertical="center"/>
    </xf>
    <xf numFmtId="4" fontId="18" fillId="2" borderId="110" xfId="0" applyNumberFormat="1" applyFont="1" applyFill="1" applyBorder="1" applyAlignment="1">
      <alignment horizontal="right" vertical="center" indent="1"/>
    </xf>
    <xf numFmtId="0" fontId="10" fillId="2" borderId="110" xfId="1" applyFont="1" applyFill="1" applyBorder="1" applyAlignment="1">
      <alignment horizontal="left" vertical="center" wrapText="1"/>
    </xf>
    <xf numFmtId="0" fontId="10" fillId="2" borderId="110" xfId="1" applyFont="1" applyFill="1" applyBorder="1" applyAlignment="1">
      <alignment horizontal="center" vertical="center" wrapText="1"/>
    </xf>
    <xf numFmtId="0" fontId="12" fillId="2" borderId="110" xfId="1" applyFont="1" applyFill="1" applyBorder="1" applyAlignment="1">
      <alignment horizontal="center" vertical="center"/>
    </xf>
    <xf numFmtId="4" fontId="4" fillId="2" borderId="110" xfId="1" applyNumberFormat="1" applyFont="1" applyFill="1" applyBorder="1" applyAlignment="1">
      <alignment horizontal="center" vertical="center"/>
    </xf>
    <xf numFmtId="10" fontId="4" fillId="2" borderId="110" xfId="1" applyNumberFormat="1" applyFont="1" applyFill="1" applyBorder="1" applyAlignment="1">
      <alignment horizontal="center" vertical="center"/>
    </xf>
    <xf numFmtId="3" fontId="4" fillId="2" borderId="110" xfId="1" applyNumberFormat="1" applyFont="1" applyFill="1" applyBorder="1" applyAlignment="1">
      <alignment horizontal="right" vertical="center" indent="1"/>
    </xf>
    <xf numFmtId="4" fontId="3" fillId="2" borderId="110" xfId="0" applyNumberFormat="1" applyFont="1" applyFill="1" applyBorder="1" applyAlignment="1">
      <alignment horizontal="right" vertical="center" indent="1"/>
    </xf>
    <xf numFmtId="4" fontId="4" fillId="2" borderId="110" xfId="1" applyNumberFormat="1" applyFont="1" applyFill="1" applyBorder="1" applyAlignment="1">
      <alignment horizontal="right" vertical="center" indent="1"/>
    </xf>
    <xf numFmtId="0" fontId="11" fillId="2" borderId="110" xfId="1" applyFont="1" applyFill="1" applyBorder="1" applyAlignment="1">
      <alignment horizontal="left" vertical="center" wrapText="1"/>
    </xf>
    <xf numFmtId="0" fontId="2" fillId="2" borderId="110" xfId="0" applyFont="1" applyFill="1" applyBorder="1" applyAlignment="1">
      <alignment horizontal="left" vertical="center" indent="1"/>
    </xf>
    <xf numFmtId="0" fontId="12" fillId="2" borderId="110" xfId="1" applyFont="1" applyFill="1" applyBorder="1" applyAlignment="1">
      <alignment horizontal="left" vertical="center" indent="1"/>
    </xf>
    <xf numFmtId="0" fontId="12" fillId="2" borderId="110" xfId="1" applyFont="1" applyFill="1" applyBorder="1" applyAlignment="1">
      <alignment horizontal="right" vertical="center" indent="1"/>
    </xf>
    <xf numFmtId="3" fontId="12" fillId="2" borderId="110" xfId="1" applyNumberFormat="1" applyFont="1" applyFill="1" applyBorder="1" applyAlignment="1">
      <alignment horizontal="right" vertical="center" wrapText="1" indent="1"/>
    </xf>
    <xf numFmtId="4" fontId="12" fillId="2" borderId="110" xfId="1" applyNumberFormat="1" applyFont="1" applyFill="1" applyBorder="1" applyAlignment="1">
      <alignment horizontal="right" vertical="center" indent="1"/>
    </xf>
    <xf numFmtId="3" fontId="12" fillId="2" borderId="110" xfId="1" applyNumberFormat="1" applyFont="1" applyFill="1" applyBorder="1" applyAlignment="1">
      <alignment horizontal="right" vertical="center" indent="1"/>
    </xf>
    <xf numFmtId="4" fontId="2" fillId="2" borderId="110" xfId="0" applyNumberFormat="1" applyFont="1" applyFill="1" applyBorder="1" applyAlignment="1">
      <alignment horizontal="right" vertical="center" indent="1"/>
    </xf>
    <xf numFmtId="0" fontId="10" fillId="2" borderId="110" xfId="0" applyFont="1" applyFill="1" applyBorder="1" applyAlignment="1">
      <alignment horizontal="left" vertical="center" wrapText="1"/>
    </xf>
    <xf numFmtId="0" fontId="10" fillId="2" borderId="110" xfId="0" applyFont="1" applyFill="1" applyBorder="1" applyAlignment="1">
      <alignment horizontal="left" vertical="center" wrapText="1" indent="1"/>
    </xf>
    <xf numFmtId="0" fontId="12" fillId="2" borderId="110" xfId="0" applyFont="1" applyFill="1" applyBorder="1" applyAlignment="1">
      <alignment horizontal="left" vertical="center" indent="1"/>
    </xf>
    <xf numFmtId="0" fontId="12" fillId="2" borderId="110" xfId="0" applyFont="1" applyFill="1" applyBorder="1" applyAlignment="1">
      <alignment horizontal="right" vertical="center" indent="1"/>
    </xf>
    <xf numFmtId="3" fontId="4" fillId="2" borderId="110" xfId="0" applyNumberFormat="1" applyFont="1" applyFill="1" applyBorder="1" applyAlignment="1">
      <alignment horizontal="right" vertical="center" indent="1"/>
    </xf>
    <xf numFmtId="0" fontId="11" fillId="2" borderId="110" xfId="0" applyFont="1" applyFill="1" applyBorder="1" applyAlignment="1">
      <alignment horizontal="left" vertical="center" wrapText="1"/>
    </xf>
    <xf numFmtId="4" fontId="12" fillId="2" borderId="110" xfId="0" applyNumberFormat="1" applyFont="1" applyFill="1" applyBorder="1" applyAlignment="1">
      <alignment horizontal="right" vertical="center" indent="1"/>
    </xf>
    <xf numFmtId="3" fontId="12" fillId="2" borderId="110" xfId="0" applyNumberFormat="1" applyFont="1" applyFill="1" applyBorder="1" applyAlignment="1">
      <alignment horizontal="right" vertical="center" indent="1"/>
    </xf>
    <xf numFmtId="0" fontId="10" fillId="2" borderId="110" xfId="1" applyFont="1" applyFill="1" applyBorder="1" applyAlignment="1">
      <alignment horizontal="left" vertical="center" wrapText="1" indent="1"/>
    </xf>
    <xf numFmtId="0" fontId="2" fillId="2" borderId="110" xfId="0" applyFont="1" applyFill="1" applyBorder="1"/>
    <xf numFmtId="0" fontId="18" fillId="2" borderId="107" xfId="0" applyFont="1" applyFill="1" applyBorder="1" applyAlignment="1">
      <alignment vertical="center"/>
    </xf>
    <xf numFmtId="0" fontId="17" fillId="2" borderId="107" xfId="0" applyFont="1" applyFill="1" applyBorder="1" applyAlignment="1">
      <alignment horizontal="left" vertical="center" wrapText="1" indent="1"/>
    </xf>
    <xf numFmtId="3" fontId="17" fillId="2" borderId="110" xfId="0" applyNumberFormat="1" applyFont="1" applyFill="1" applyBorder="1" applyAlignment="1">
      <alignment horizontal="right" vertical="center" indent="4"/>
    </xf>
    <xf numFmtId="0" fontId="3" fillId="2" borderId="110" xfId="0" applyFont="1" applyFill="1" applyBorder="1" applyAlignment="1">
      <alignment horizontal="left" vertical="center" wrapText="1"/>
    </xf>
    <xf numFmtId="0" fontId="2" fillId="2" borderId="110" xfId="0" applyFont="1" applyFill="1" applyBorder="1" applyAlignment="1">
      <alignment horizontal="right" vertical="center" indent="1"/>
    </xf>
    <xf numFmtId="3" fontId="2" fillId="2" borderId="110" xfId="0" applyNumberFormat="1" applyFont="1" applyFill="1" applyBorder="1" applyAlignment="1">
      <alignment horizontal="right" vertical="center" indent="1"/>
    </xf>
    <xf numFmtId="3" fontId="3" fillId="2" borderId="110" xfId="0" applyNumberFormat="1" applyFont="1" applyFill="1" applyBorder="1" applyAlignment="1">
      <alignment horizontal="right" vertical="center" indent="1"/>
    </xf>
    <xf numFmtId="0" fontId="2" fillId="2" borderId="110" xfId="0" applyFont="1" applyFill="1" applyBorder="1" applyAlignment="1">
      <alignment horizontal="left" vertical="center"/>
    </xf>
    <xf numFmtId="0" fontId="3" fillId="2" borderId="110" xfId="0" applyFont="1" applyFill="1" applyBorder="1" applyAlignment="1">
      <alignment horizontal="left"/>
    </xf>
    <xf numFmtId="4" fontId="2" fillId="2" borderId="110" xfId="0" applyNumberFormat="1" applyFont="1" applyFill="1" applyBorder="1" applyAlignment="1">
      <alignment horizontal="right" indent="1"/>
    </xf>
    <xf numFmtId="4" fontId="4" fillId="2" borderId="110" xfId="0" applyNumberFormat="1" applyFont="1" applyFill="1" applyBorder="1" applyAlignment="1">
      <alignment horizontal="right" vertical="center" indent="1"/>
    </xf>
    <xf numFmtId="0" fontId="3" fillId="2" borderId="107" xfId="0" applyFont="1" applyFill="1" applyBorder="1" applyAlignment="1">
      <alignment horizontal="left"/>
    </xf>
    <xf numFmtId="0" fontId="2" fillId="2" borderId="107" xfId="0" applyFont="1" applyFill="1" applyBorder="1" applyAlignment="1">
      <alignment horizontal="right" vertical="center" indent="1"/>
    </xf>
    <xf numFmtId="3" fontId="12" fillId="2" borderId="107" xfId="0" applyNumberFormat="1" applyFont="1" applyFill="1" applyBorder="1" applyAlignment="1">
      <alignment horizontal="right" vertical="center" indent="1"/>
    </xf>
    <xf numFmtId="4" fontId="2" fillId="2" borderId="107" xfId="0" applyNumberFormat="1" applyFont="1" applyFill="1" applyBorder="1" applyAlignment="1">
      <alignment horizontal="right" indent="1"/>
    </xf>
    <xf numFmtId="0" fontId="3" fillId="2" borderId="110" xfId="0" applyFont="1" applyFill="1" applyBorder="1" applyAlignment="1">
      <alignment vertical="center"/>
    </xf>
    <xf numFmtId="0" fontId="14" fillId="2" borderId="110" xfId="0" applyFont="1" applyFill="1" applyBorder="1" applyAlignment="1">
      <alignment horizontal="center" vertical="center"/>
    </xf>
    <xf numFmtId="0" fontId="8" fillId="2" borderId="110" xfId="0" applyFont="1" applyFill="1" applyBorder="1" applyAlignment="1">
      <alignment vertical="center" wrapText="1"/>
    </xf>
    <xf numFmtId="0" fontId="27" fillId="2" borderId="110" xfId="0" applyFont="1" applyFill="1" applyBorder="1" applyAlignment="1">
      <alignment horizontal="left" vertical="center" wrapText="1" indent="1"/>
    </xf>
    <xf numFmtId="4" fontId="27" fillId="2" borderId="110" xfId="0" applyNumberFormat="1" applyFont="1" applyFill="1" applyBorder="1" applyAlignment="1">
      <alignment horizontal="right" vertical="center" wrapText="1" indent="1"/>
    </xf>
    <xf numFmtId="4" fontId="27" fillId="2" borderId="110" xfId="0" applyNumberFormat="1" applyFont="1" applyFill="1" applyBorder="1" applyAlignment="1">
      <alignment horizontal="right" vertical="center" wrapText="1" indent="2"/>
    </xf>
    <xf numFmtId="3" fontId="8" fillId="2" borderId="110" xfId="0" applyNumberFormat="1" applyFont="1" applyFill="1" applyBorder="1" applyAlignment="1">
      <alignment horizontal="right" vertical="center" indent="1"/>
    </xf>
    <xf numFmtId="4" fontId="8" fillId="2" borderId="110" xfId="0" applyNumberFormat="1" applyFont="1" applyFill="1" applyBorder="1" applyAlignment="1">
      <alignment horizontal="right" vertical="center" wrapText="1" indent="1"/>
    </xf>
    <xf numFmtId="0" fontId="18" fillId="2" borderId="110" xfId="0" applyFont="1" applyFill="1" applyBorder="1" applyAlignment="1">
      <alignment horizontal="left" vertical="center" wrapText="1"/>
    </xf>
    <xf numFmtId="0" fontId="14" fillId="2" borderId="110" xfId="0" applyFont="1" applyFill="1" applyBorder="1" applyAlignment="1">
      <alignment horizontal="left" vertical="center" wrapText="1" indent="1"/>
    </xf>
    <xf numFmtId="4" fontId="14" fillId="2" borderId="110" xfId="0" applyNumberFormat="1" applyFont="1" applyFill="1" applyBorder="1" applyAlignment="1">
      <alignment horizontal="right" vertical="center" wrapText="1" indent="1"/>
    </xf>
    <xf numFmtId="4" fontId="14" fillId="2" borderId="110" xfId="0" applyNumberFormat="1" applyFont="1" applyFill="1" applyBorder="1" applyAlignment="1">
      <alignment horizontal="right" vertical="center" wrapText="1" indent="2"/>
    </xf>
    <xf numFmtId="3" fontId="18" fillId="2" borderId="110" xfId="0" applyNumberFormat="1" applyFont="1" applyFill="1" applyBorder="1" applyAlignment="1">
      <alignment horizontal="right" vertical="center" wrapText="1" indent="1"/>
    </xf>
    <xf numFmtId="4" fontId="18" fillId="2" borderId="110" xfId="0" applyNumberFormat="1" applyFont="1" applyFill="1" applyBorder="1" applyAlignment="1">
      <alignment horizontal="right" vertical="center" wrapText="1" indent="1"/>
    </xf>
    <xf numFmtId="0" fontId="2" fillId="2" borderId="110" xfId="0" applyFont="1" applyFill="1" applyBorder="1" applyAlignment="1">
      <alignment horizontal="left" vertical="center" wrapText="1" indent="1"/>
    </xf>
    <xf numFmtId="3" fontId="2" fillId="2" borderId="110" xfId="0" applyNumberFormat="1" applyFont="1" applyFill="1" applyBorder="1" applyAlignment="1">
      <alignment horizontal="right" vertical="center" wrapText="1" indent="1"/>
    </xf>
    <xf numFmtId="4" fontId="2" fillId="2" borderId="110" xfId="0" applyNumberFormat="1" applyFont="1" applyFill="1" applyBorder="1" applyAlignment="1">
      <alignment horizontal="right" vertical="center" wrapText="1" indent="2"/>
    </xf>
    <xf numFmtId="4" fontId="2" fillId="2" borderId="110" xfId="0" applyNumberFormat="1" applyFont="1" applyFill="1" applyBorder="1" applyAlignment="1">
      <alignment horizontal="right" vertical="center" wrapText="1" indent="1"/>
    </xf>
    <xf numFmtId="3" fontId="17" fillId="2" borderId="110" xfId="0" applyNumberFormat="1" applyFont="1" applyFill="1" applyBorder="1" applyAlignment="1">
      <alignment horizontal="right" vertical="center" wrapText="1" indent="1"/>
    </xf>
    <xf numFmtId="4" fontId="17" fillId="2" borderId="110" xfId="0" applyNumberFormat="1" applyFont="1" applyFill="1" applyBorder="1" applyAlignment="1">
      <alignment horizontal="right" vertical="center" wrapText="1" indent="2"/>
    </xf>
    <xf numFmtId="0" fontId="12" fillId="2" borderId="110" xfId="0" applyFont="1" applyFill="1" applyBorder="1" applyAlignment="1">
      <alignment horizontal="left" vertical="center" wrapText="1" indent="1"/>
    </xf>
    <xf numFmtId="3" fontId="12" fillId="2" borderId="110" xfId="0" applyNumberFormat="1" applyFont="1" applyFill="1" applyBorder="1" applyAlignment="1">
      <alignment horizontal="right" vertical="center" wrapText="1" indent="1"/>
    </xf>
    <xf numFmtId="4" fontId="12" fillId="2" borderId="110" xfId="0" applyNumberFormat="1" applyFont="1" applyFill="1" applyBorder="1" applyAlignment="1">
      <alignment horizontal="right" vertical="center" wrapText="1" indent="1"/>
    </xf>
    <xf numFmtId="0" fontId="2" fillId="2" borderId="110" xfId="0" applyFont="1" applyFill="1" applyBorder="1" applyAlignment="1">
      <alignment vertical="center"/>
    </xf>
    <xf numFmtId="0" fontId="8" fillId="2" borderId="110" xfId="0" applyFont="1" applyFill="1" applyBorder="1" applyAlignment="1">
      <alignment vertical="center"/>
    </xf>
    <xf numFmtId="4" fontId="8" fillId="2" borderId="110" xfId="0" applyNumberFormat="1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/>
    </xf>
    <xf numFmtId="3" fontId="16" fillId="2" borderId="110" xfId="0" applyNumberFormat="1" applyFont="1" applyFill="1" applyBorder="1" applyAlignment="1">
      <alignment horizontal="center" vertical="center" wrapText="1"/>
    </xf>
    <xf numFmtId="0" fontId="4" fillId="2" borderId="110" xfId="0" applyFont="1" applyFill="1" applyBorder="1" applyAlignment="1">
      <alignment horizontal="right" vertical="center" wrapText="1" indent="1"/>
    </xf>
    <xf numFmtId="0" fontId="2" fillId="2" borderId="110" xfId="0" applyFont="1" applyFill="1" applyBorder="1" applyAlignment="1">
      <alignment horizontal="left" vertical="center" wrapText="1" indent="2"/>
    </xf>
    <xf numFmtId="3" fontId="2" fillId="2" borderId="110" xfId="0" applyNumberFormat="1" applyFont="1" applyFill="1" applyBorder="1" applyAlignment="1">
      <alignment horizontal="right" vertical="center" wrapText="1" indent="2"/>
    </xf>
    <xf numFmtId="4" fontId="2" fillId="2" borderId="110" xfId="11" applyNumberFormat="1" applyFont="1" applyFill="1" applyBorder="1" applyAlignment="1">
      <alignment horizontal="right" vertical="center" wrapText="1" indent="2"/>
    </xf>
    <xf numFmtId="4" fontId="2" fillId="2" borderId="110" xfId="11" applyNumberFormat="1" applyFont="1" applyFill="1" applyBorder="1" applyAlignment="1">
      <alignment horizontal="right" vertical="center" wrapText="1" indent="1"/>
    </xf>
    <xf numFmtId="0" fontId="2" fillId="2" borderId="110" xfId="0" applyFont="1" applyFill="1" applyBorder="1" applyAlignment="1">
      <alignment vertical="center" wrapText="1"/>
    </xf>
    <xf numFmtId="168" fontId="12" fillId="2" borderId="110" xfId="0" applyNumberFormat="1" applyFont="1" applyFill="1" applyBorder="1" applyAlignment="1">
      <alignment horizontal="right" vertical="center" indent="1"/>
    </xf>
    <xf numFmtId="3" fontId="2" fillId="2" borderId="110" xfId="0" applyNumberFormat="1" applyFont="1" applyFill="1" applyBorder="1" applyAlignment="1">
      <alignment horizontal="right" vertical="center" indent="2"/>
    </xf>
    <xf numFmtId="0" fontId="2" fillId="2" borderId="31" xfId="0" applyFont="1" applyFill="1" applyBorder="1"/>
    <xf numFmtId="0" fontId="4" fillId="2" borderId="110" xfId="0" applyFont="1" applyFill="1" applyBorder="1" applyAlignment="1">
      <alignment horizontal="left" vertical="center" wrapText="1" indent="1"/>
    </xf>
    <xf numFmtId="0" fontId="2" fillId="2" borderId="110" xfId="0" applyFont="1" applyFill="1" applyBorder="1" applyAlignment="1">
      <alignment horizontal="center" vertical="center" wrapText="1"/>
    </xf>
    <xf numFmtId="0" fontId="18" fillId="2" borderId="110" xfId="0" applyFont="1" applyFill="1" applyBorder="1" applyAlignment="1">
      <alignment vertical="center" wrapText="1"/>
    </xf>
    <xf numFmtId="4" fontId="18" fillId="2" borderId="110" xfId="0" applyNumberFormat="1" applyFont="1" applyFill="1" applyBorder="1" applyAlignment="1">
      <alignment horizontal="left" vertical="center" wrapText="1"/>
    </xf>
    <xf numFmtId="2" fontId="18" fillId="2" borderId="110" xfId="0" applyNumberFormat="1" applyFont="1" applyFill="1" applyBorder="1" applyAlignment="1">
      <alignment horizontal="right" vertical="center" wrapText="1" indent="1"/>
    </xf>
    <xf numFmtId="0" fontId="4" fillId="2" borderId="110" xfId="0" applyFont="1" applyFill="1" applyBorder="1" applyAlignment="1">
      <alignment horizontal="left" vertical="center" wrapText="1" indent="2"/>
    </xf>
    <xf numFmtId="0" fontId="12" fillId="2" borderId="110" xfId="0" applyFont="1" applyFill="1" applyBorder="1" applyAlignment="1">
      <alignment horizontal="left" vertical="center" wrapText="1" indent="2"/>
    </xf>
    <xf numFmtId="0" fontId="2" fillId="2" borderId="110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left" wrapText="1" indent="1"/>
    </xf>
    <xf numFmtId="4" fontId="18" fillId="2" borderId="110" xfId="0" applyNumberFormat="1" applyFont="1" applyFill="1" applyBorder="1" applyAlignment="1">
      <alignment horizontal="center" vertical="center" wrapText="1"/>
    </xf>
    <xf numFmtId="4" fontId="2" fillId="2" borderId="110" xfId="0" applyNumberFormat="1" applyFont="1" applyFill="1" applyBorder="1" applyAlignment="1">
      <alignment horizontal="center" vertical="center" wrapText="1"/>
    </xf>
    <xf numFmtId="0" fontId="3" fillId="2" borderId="110" xfId="0" applyFont="1" applyFill="1" applyBorder="1" applyAlignment="1">
      <alignment horizontal="left" vertical="center" indent="1"/>
    </xf>
    <xf numFmtId="0" fontId="2" fillId="2" borderId="110" xfId="0" applyFont="1" applyFill="1" applyBorder="1" applyAlignment="1">
      <alignment horizontal="right" indent="1"/>
    </xf>
    <xf numFmtId="0" fontId="2" fillId="2" borderId="31" xfId="0" applyFont="1" applyFill="1" applyBorder="1" applyAlignment="1">
      <alignment horizontal="right" indent="1"/>
    </xf>
    <xf numFmtId="0" fontId="18" fillId="2" borderId="110" xfId="0" applyFont="1" applyFill="1" applyBorder="1" applyAlignment="1">
      <alignment horizontal="right" indent="1"/>
    </xf>
    <xf numFmtId="3" fontId="12" fillId="2" borderId="110" xfId="0" applyNumberFormat="1" applyFont="1" applyFill="1" applyBorder="1" applyAlignment="1">
      <alignment horizontal="right" vertical="center" wrapText="1" indent="2"/>
    </xf>
    <xf numFmtId="0" fontId="3" fillId="2" borderId="110" xfId="0" applyFont="1" applyFill="1" applyBorder="1" applyAlignment="1">
      <alignment horizontal="left" vertical="center" wrapText="1" indent="1"/>
    </xf>
    <xf numFmtId="3" fontId="18" fillId="2" borderId="31" xfId="0" applyNumberFormat="1" applyFont="1" applyFill="1" applyBorder="1" applyAlignment="1">
      <alignment horizontal="right" vertical="center" indent="1"/>
    </xf>
    <xf numFmtId="0" fontId="3" fillId="2" borderId="110" xfId="0" applyFont="1" applyFill="1" applyBorder="1" applyAlignment="1">
      <alignment horizontal="center" vertical="center"/>
    </xf>
    <xf numFmtId="4" fontId="12" fillId="2" borderId="110" xfId="11" applyNumberFormat="1" applyFont="1" applyFill="1" applyBorder="1" applyAlignment="1">
      <alignment horizontal="right" vertical="center" wrapText="1" indent="2"/>
    </xf>
    <xf numFmtId="0" fontId="33" fillId="2" borderId="110" xfId="0" applyFont="1" applyFill="1" applyBorder="1" applyAlignment="1">
      <alignment horizontal="left" vertical="center" wrapText="1" indent="1"/>
    </xf>
    <xf numFmtId="0" fontId="4" fillId="2" borderId="110" xfId="0" applyFont="1" applyFill="1" applyBorder="1" applyAlignment="1">
      <alignment horizontal="left" vertical="center"/>
    </xf>
    <xf numFmtId="0" fontId="12" fillId="2" borderId="110" xfId="0" applyFont="1" applyFill="1" applyBorder="1" applyAlignment="1">
      <alignment vertical="center" wrapText="1"/>
    </xf>
    <xf numFmtId="0" fontId="2" fillId="2" borderId="110" xfId="0" applyFont="1" applyFill="1" applyBorder="1" applyAlignment="1">
      <alignment horizontal="left"/>
    </xf>
    <xf numFmtId="4" fontId="18" fillId="2" borderId="110" xfId="11" applyNumberFormat="1" applyFont="1" applyFill="1" applyBorder="1" applyAlignment="1">
      <alignment horizontal="right" vertical="center" indent="1"/>
    </xf>
    <xf numFmtId="0" fontId="2" fillId="2" borderId="110" xfId="0" applyFont="1" applyFill="1" applyBorder="1" applyAlignment="1">
      <alignment horizontal="justify" vertical="center" wrapText="1"/>
    </xf>
    <xf numFmtId="3" fontId="2" fillId="2" borderId="110" xfId="0" applyNumberFormat="1" applyFont="1" applyFill="1" applyBorder="1" applyAlignment="1">
      <alignment horizontal="left" vertical="center" wrapText="1" indent="1"/>
    </xf>
    <xf numFmtId="4" fontId="2" fillId="2" borderId="110" xfId="11" applyNumberFormat="1" applyFont="1" applyFill="1" applyBorder="1" applyAlignment="1">
      <alignment horizontal="right" vertical="center" indent="1"/>
    </xf>
    <xf numFmtId="0" fontId="17" fillId="2" borderId="110" xfId="12" applyFont="1" applyFill="1" applyBorder="1" applyAlignment="1">
      <alignment vertical="center" wrapText="1"/>
    </xf>
    <xf numFmtId="4" fontId="34" fillId="2" borderId="90" xfId="1" applyNumberFormat="1" applyFont="1" applyFill="1" applyBorder="1" applyAlignment="1">
      <alignment horizontal="right" vertical="center" indent="1"/>
    </xf>
    <xf numFmtId="0" fontId="12" fillId="10" borderId="32" xfId="0" applyFont="1" applyFill="1" applyBorder="1" applyAlignment="1">
      <alignment horizontal="right" vertical="center" wrapText="1" indent="1"/>
    </xf>
    <xf numFmtId="175" fontId="12" fillId="10" borderId="32" xfId="0" applyNumberFormat="1" applyFont="1" applyFill="1" applyBorder="1" applyAlignment="1">
      <alignment horizontal="right" vertical="center" wrapText="1" indent="1"/>
    </xf>
    <xf numFmtId="0" fontId="2" fillId="0" borderId="110" xfId="0" applyFont="1" applyBorder="1"/>
    <xf numFmtId="0" fontId="18" fillId="0" borderId="11" xfId="0" applyFont="1" applyBorder="1" applyAlignment="1">
      <alignment vertical="center"/>
    </xf>
    <xf numFmtId="164" fontId="18" fillId="2" borderId="11" xfId="0" applyNumberFormat="1" applyFont="1" applyFill="1" applyBorder="1" applyAlignment="1">
      <alignment horizontal="right" vertical="center" wrapText="1" indent="1"/>
    </xf>
    <xf numFmtId="0" fontId="18" fillId="0" borderId="11" xfId="0" applyFont="1" applyBorder="1" applyAlignment="1">
      <alignment vertical="center" wrapText="1"/>
    </xf>
    <xf numFmtId="0" fontId="54" fillId="0" borderId="0" xfId="0" applyFont="1" applyAlignment="1">
      <alignment horizontal="left" indent="1"/>
    </xf>
    <xf numFmtId="0" fontId="12" fillId="0" borderId="118" xfId="0" applyFont="1" applyBorder="1" applyAlignment="1">
      <alignment horizontal="right" vertical="center"/>
    </xf>
    <xf numFmtId="0" fontId="4" fillId="0" borderId="118" xfId="0" applyFont="1" applyBorder="1" applyAlignment="1">
      <alignment vertical="center" wrapText="1"/>
    </xf>
    <xf numFmtId="0" fontId="12" fillId="0" borderId="118" xfId="0" applyFont="1" applyFill="1" applyBorder="1" applyAlignment="1">
      <alignment horizontal="left" vertical="center" indent="1"/>
    </xf>
    <xf numFmtId="0" fontId="12" fillId="0" borderId="118" xfId="0" applyFont="1" applyBorder="1" applyAlignment="1">
      <alignment horizontal="left" vertical="center" indent="1"/>
    </xf>
    <xf numFmtId="0" fontId="2" fillId="0" borderId="118" xfId="0" applyFont="1" applyBorder="1" applyAlignment="1">
      <alignment horizontal="right" vertical="center" indent="1"/>
    </xf>
    <xf numFmtId="3" fontId="2" fillId="2" borderId="118" xfId="0" applyNumberFormat="1" applyFont="1" applyFill="1" applyBorder="1" applyAlignment="1">
      <alignment horizontal="right" vertical="center" wrapText="1" indent="1"/>
    </xf>
    <xf numFmtId="3" fontId="2" fillId="0" borderId="118" xfId="0" applyNumberFormat="1" applyFont="1" applyBorder="1" applyAlignment="1">
      <alignment horizontal="right" vertical="center" indent="1"/>
    </xf>
    <xf numFmtId="4" fontId="2" fillId="2" borderId="118" xfId="0" applyNumberFormat="1" applyFont="1" applyFill="1" applyBorder="1" applyAlignment="1">
      <alignment horizontal="right" vertical="center" wrapText="1" indent="1"/>
    </xf>
    <xf numFmtId="0" fontId="18" fillId="0" borderId="118" xfId="0" applyFont="1" applyBorder="1" applyAlignment="1">
      <alignment horizontal="left" vertical="center"/>
    </xf>
    <xf numFmtId="0" fontId="18" fillId="0" borderId="118" xfId="0" applyFont="1" applyBorder="1" applyAlignment="1">
      <alignment vertical="center"/>
    </xf>
    <xf numFmtId="0" fontId="18" fillId="0" borderId="118" xfId="0" applyFont="1" applyBorder="1" applyAlignment="1">
      <alignment horizontal="left" vertical="center" indent="1"/>
    </xf>
    <xf numFmtId="0" fontId="18" fillId="0" borderId="118" xfId="0" applyFont="1" applyBorder="1" applyAlignment="1">
      <alignment horizontal="right" vertical="center" indent="1"/>
    </xf>
    <xf numFmtId="3" fontId="18" fillId="0" borderId="118" xfId="0" applyNumberFormat="1" applyFont="1" applyBorder="1" applyAlignment="1">
      <alignment horizontal="right" vertical="center" indent="1"/>
    </xf>
    <xf numFmtId="4" fontId="18" fillId="0" borderId="118" xfId="0" applyNumberFormat="1" applyFont="1" applyBorder="1" applyAlignment="1">
      <alignment horizontal="right" vertical="center" indent="1"/>
    </xf>
    <xf numFmtId="0" fontId="18" fillId="0" borderId="119" xfId="0" applyFont="1" applyBorder="1" applyAlignment="1">
      <alignment horizontal="left" vertical="center"/>
    </xf>
    <xf numFmtId="0" fontId="18" fillId="0" borderId="120" xfId="0" applyFont="1" applyBorder="1" applyAlignment="1">
      <alignment vertical="center"/>
    </xf>
    <xf numFmtId="0" fontId="18" fillId="0" borderId="120" xfId="0" applyFont="1" applyBorder="1" applyAlignment="1">
      <alignment horizontal="left" vertical="center" indent="1"/>
    </xf>
    <xf numFmtId="0" fontId="18" fillId="0" borderId="120" xfId="0" applyFont="1" applyBorder="1" applyAlignment="1">
      <alignment horizontal="right" vertical="center" indent="1"/>
    </xf>
    <xf numFmtId="3" fontId="18" fillId="0" borderId="120" xfId="0" applyNumberFormat="1" applyFont="1" applyBorder="1" applyAlignment="1">
      <alignment horizontal="right" vertical="center" indent="1"/>
    </xf>
    <xf numFmtId="4" fontId="18" fillId="0" borderId="120" xfId="0" applyNumberFormat="1" applyFont="1" applyBorder="1" applyAlignment="1">
      <alignment horizontal="right" vertical="center" indent="1"/>
    </xf>
    <xf numFmtId="4" fontId="18" fillId="0" borderId="121" xfId="0" applyNumberFormat="1" applyFont="1" applyBorder="1" applyAlignment="1">
      <alignment horizontal="right" vertical="center" indent="1"/>
    </xf>
    <xf numFmtId="4" fontId="12" fillId="2" borderId="68" xfId="14" applyNumberFormat="1" applyFont="1" applyFill="1" applyBorder="1" applyAlignment="1">
      <alignment horizontal="right" vertical="center" indent="1"/>
    </xf>
    <xf numFmtId="4" fontId="12" fillId="2" borderId="0" xfId="14" applyNumberFormat="1" applyFont="1" applyFill="1" applyBorder="1" applyAlignment="1">
      <alignment horizontal="right" vertical="center" indent="1"/>
    </xf>
    <xf numFmtId="0" fontId="2" fillId="0" borderId="118" xfId="0" applyFont="1" applyBorder="1" applyAlignment="1">
      <alignment horizontal="left" vertical="center" indent="1"/>
    </xf>
    <xf numFmtId="182" fontId="28" fillId="2" borderId="78" xfId="10" applyNumberFormat="1" applyFont="1" applyFill="1" applyBorder="1" applyAlignment="1">
      <alignment horizontal="right" vertical="center" indent="1"/>
    </xf>
    <xf numFmtId="0" fontId="52" fillId="16" borderId="105" xfId="1" applyFont="1" applyFill="1" applyBorder="1" applyAlignment="1">
      <alignment horizontal="right" vertical="center" wrapText="1" indent="1"/>
    </xf>
    <xf numFmtId="0" fontId="2" fillId="2" borderId="32" xfId="0" applyFont="1" applyFill="1" applyBorder="1" applyAlignment="1">
      <alignment horizontal="left" vertical="center" wrapText="1" indent="1"/>
    </xf>
    <xf numFmtId="4" fontId="8" fillId="2" borderId="32" xfId="0" applyNumberFormat="1" applyFont="1" applyFill="1" applyBorder="1" applyAlignment="1">
      <alignment horizontal="left" vertical="center" wrapText="1"/>
    </xf>
    <xf numFmtId="0" fontId="4" fillId="2" borderId="32" xfId="5" applyFont="1" applyFill="1" applyBorder="1" applyAlignment="1">
      <alignment horizontal="left" vertical="center"/>
    </xf>
    <xf numFmtId="0" fontId="4" fillId="2" borderId="32" xfId="5" applyFont="1" applyFill="1" applyBorder="1" applyAlignment="1">
      <alignment horizontal="left" vertical="center" wrapText="1"/>
    </xf>
    <xf numFmtId="0" fontId="2" fillId="0" borderId="118" xfId="0" applyFont="1" applyBorder="1"/>
    <xf numFmtId="0" fontId="2" fillId="27" borderId="118" xfId="0" applyFont="1" applyFill="1" applyBorder="1" applyAlignment="1">
      <alignment horizontal="center"/>
    </xf>
    <xf numFmtId="0" fontId="2" fillId="27" borderId="118" xfId="0" applyFont="1" applyFill="1" applyBorder="1" applyAlignment="1"/>
    <xf numFmtId="0" fontId="2" fillId="27" borderId="118" xfId="0" applyFont="1" applyFill="1" applyBorder="1" applyAlignment="1">
      <alignment horizontal="right" indent="1"/>
    </xf>
    <xf numFmtId="3" fontId="8" fillId="27" borderId="118" xfId="0" applyNumberFormat="1" applyFont="1" applyFill="1" applyBorder="1" applyAlignment="1">
      <alignment horizontal="right" vertical="center" indent="1"/>
    </xf>
    <xf numFmtId="4" fontId="8" fillId="27" borderId="118" xfId="0" applyNumberFormat="1" applyFont="1" applyFill="1" applyBorder="1" applyAlignment="1">
      <alignment horizontal="right" vertical="center" indent="1"/>
    </xf>
    <xf numFmtId="2" fontId="8" fillId="27" borderId="118" xfId="0" applyNumberFormat="1" applyFont="1" applyFill="1" applyBorder="1" applyAlignment="1">
      <alignment horizontal="right" vertical="center" indent="1"/>
    </xf>
    <xf numFmtId="0" fontId="3" fillId="27" borderId="44" xfId="0" applyFont="1" applyFill="1" applyBorder="1" applyAlignment="1">
      <alignment horizontal="left" indent="1"/>
    </xf>
    <xf numFmtId="0" fontId="3" fillId="27" borderId="44" xfId="0" applyFont="1" applyFill="1" applyBorder="1" applyAlignment="1">
      <alignment horizontal="right" indent="1"/>
    </xf>
    <xf numFmtId="3" fontId="8" fillId="27" borderId="44" xfId="0" applyNumberFormat="1" applyFont="1" applyFill="1" applyBorder="1" applyAlignment="1">
      <alignment horizontal="right" vertical="center" indent="1"/>
    </xf>
    <xf numFmtId="4" fontId="8" fillId="27" borderId="44" xfId="0" applyNumberFormat="1" applyFont="1" applyFill="1" applyBorder="1" applyAlignment="1">
      <alignment horizontal="right" vertical="center" indent="1"/>
    </xf>
    <xf numFmtId="0" fontId="2" fillId="2" borderId="89" xfId="0" applyFont="1" applyFill="1" applyBorder="1" applyAlignment="1">
      <alignment horizontal="left" vertical="center"/>
    </xf>
    <xf numFmtId="0" fontId="2" fillId="2" borderId="76" xfId="0" applyFont="1" applyFill="1" applyBorder="1" applyAlignment="1">
      <alignment horizontal="justify" vertical="center" wrapText="1"/>
    </xf>
    <xf numFmtId="0" fontId="2" fillId="2" borderId="76" xfId="0" applyFont="1" applyFill="1" applyBorder="1" applyAlignment="1">
      <alignment horizontal="left" vertical="center" wrapText="1" indent="1"/>
    </xf>
    <xf numFmtId="0" fontId="59" fillId="0" borderId="118" xfId="12" applyFont="1" applyFill="1" applyBorder="1"/>
    <xf numFmtId="0" fontId="52" fillId="2" borderId="122" xfId="1" applyFont="1" applyFill="1" applyBorder="1" applyAlignment="1">
      <alignment horizontal="center" vertical="center" wrapText="1"/>
    </xf>
    <xf numFmtId="0" fontId="52" fillId="2" borderId="123" xfId="1" applyFont="1" applyFill="1" applyBorder="1" applyAlignment="1">
      <alignment horizontal="left" vertical="center" wrapText="1"/>
    </xf>
    <xf numFmtId="170" fontId="0" fillId="0" borderId="0" xfId="0" applyNumberFormat="1"/>
    <xf numFmtId="43" fontId="67" fillId="0" borderId="0" xfId="9" applyFont="1"/>
    <xf numFmtId="177" fontId="67" fillId="0" borderId="0" xfId="9" applyNumberFormat="1" applyFont="1"/>
    <xf numFmtId="0" fontId="3" fillId="2" borderId="110" xfId="0" applyFont="1" applyFill="1" applyBorder="1" applyAlignment="1">
      <alignment horizontal="left" indent="1"/>
    </xf>
    <xf numFmtId="0" fontId="3" fillId="2" borderId="110" xfId="0" applyFont="1" applyFill="1" applyBorder="1" applyAlignment="1">
      <alignment horizontal="right" indent="1"/>
    </xf>
    <xf numFmtId="1" fontId="2" fillId="2" borderId="110" xfId="0" applyNumberFormat="1" applyFont="1" applyFill="1" applyBorder="1" applyAlignment="1">
      <alignment horizontal="right" vertical="center" indent="1"/>
    </xf>
    <xf numFmtId="2" fontId="2" fillId="2" borderId="110" xfId="0" applyNumberFormat="1" applyFont="1" applyFill="1" applyBorder="1" applyAlignment="1">
      <alignment horizontal="right" vertical="center" indent="1"/>
    </xf>
    <xf numFmtId="0" fontId="2" fillId="2" borderId="110" xfId="0" applyFont="1" applyFill="1" applyBorder="1" applyAlignment="1">
      <alignment horizontal="center"/>
    </xf>
    <xf numFmtId="0" fontId="2" fillId="2" borderId="110" xfId="0" applyFont="1" applyFill="1" applyBorder="1" applyAlignment="1"/>
    <xf numFmtId="0" fontId="2" fillId="2" borderId="110" xfId="0" applyFont="1" applyFill="1" applyBorder="1" applyAlignment="1">
      <alignment horizontal="left" indent="1"/>
    </xf>
    <xf numFmtId="0" fontId="2" fillId="2" borderId="110" xfId="0" applyFont="1" applyFill="1" applyBorder="1" applyAlignment="1">
      <alignment horizontal="right" vertical="center" indent="2"/>
    </xf>
    <xf numFmtId="4" fontId="12" fillId="2" borderId="110" xfId="0" applyNumberFormat="1" applyFont="1" applyFill="1" applyBorder="1" applyAlignment="1">
      <alignment horizontal="right" vertical="center" wrapText="1" indent="2"/>
    </xf>
    <xf numFmtId="4" fontId="2" fillId="2" borderId="110" xfId="0" applyNumberFormat="1" applyFont="1" applyFill="1" applyBorder="1" applyAlignment="1">
      <alignment horizontal="right" vertical="center" indent="2"/>
    </xf>
    <xf numFmtId="0" fontId="12" fillId="2" borderId="110" xfId="0" applyFont="1" applyFill="1" applyBorder="1" applyAlignment="1">
      <alignment horizontal="left" vertical="center"/>
    </xf>
    <xf numFmtId="0" fontId="12" fillId="2" borderId="110" xfId="0" applyFont="1" applyFill="1" applyBorder="1" applyAlignment="1">
      <alignment horizontal="right" vertical="center" indent="2"/>
    </xf>
    <xf numFmtId="4" fontId="11" fillId="2" borderId="110" xfId="0" applyNumberFormat="1" applyFont="1" applyFill="1" applyBorder="1" applyAlignment="1">
      <alignment horizontal="right" vertical="center" wrapText="1" indent="2"/>
    </xf>
    <xf numFmtId="4" fontId="11" fillId="2" borderId="110" xfId="0" applyNumberFormat="1" applyFont="1" applyFill="1" applyBorder="1" applyAlignment="1">
      <alignment horizontal="right" vertical="center" indent="2"/>
    </xf>
    <xf numFmtId="0" fontId="12" fillId="2" borderId="110" xfId="0" applyFont="1" applyFill="1" applyBorder="1" applyAlignment="1">
      <alignment horizontal="left" vertical="top" indent="1"/>
    </xf>
    <xf numFmtId="0" fontId="12" fillId="2" borderId="110" xfId="0" applyFont="1" applyFill="1" applyBorder="1" applyAlignment="1">
      <alignment horizontal="left" vertical="center" wrapText="1"/>
    </xf>
    <xf numFmtId="166" fontId="12" fillId="2" borderId="110" xfId="0" applyNumberFormat="1" applyFont="1" applyFill="1" applyBorder="1" applyAlignment="1">
      <alignment horizontal="right" vertical="center" indent="2"/>
    </xf>
    <xf numFmtId="2" fontId="12" fillId="2" borderId="110" xfId="0" applyNumberFormat="1" applyFont="1" applyFill="1" applyBorder="1" applyAlignment="1">
      <alignment horizontal="right" vertical="center" indent="2"/>
    </xf>
    <xf numFmtId="2" fontId="8" fillId="2" borderId="11" xfId="0" applyNumberFormat="1" applyFont="1" applyFill="1" applyBorder="1" applyAlignment="1">
      <alignment horizontal="right" vertical="center" indent="1"/>
    </xf>
    <xf numFmtId="0" fontId="2" fillId="2" borderId="11" xfId="0" applyFont="1" applyFill="1" applyBorder="1" applyAlignment="1">
      <alignment horizontal="left" vertical="center" wrapText="1"/>
    </xf>
    <xf numFmtId="1" fontId="2" fillId="2" borderId="11" xfId="0" applyNumberFormat="1" applyFont="1" applyFill="1" applyBorder="1" applyAlignment="1">
      <alignment horizontal="right" vertical="center" indent="1"/>
    </xf>
    <xf numFmtId="4" fontId="2" fillId="2" borderId="11" xfId="0" applyNumberFormat="1" applyFont="1" applyFill="1" applyBorder="1" applyAlignment="1">
      <alignment horizontal="right" vertical="center" wrapText="1" indent="1"/>
    </xf>
    <xf numFmtId="0" fontId="3" fillId="2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right" vertical="center" indent="1"/>
    </xf>
    <xf numFmtId="4" fontId="2" fillId="2" borderId="19" xfId="0" applyNumberFormat="1" applyFont="1" applyFill="1" applyBorder="1" applyAlignment="1">
      <alignment horizontal="right" vertical="center" indent="1"/>
    </xf>
    <xf numFmtId="3" fontId="12" fillId="2" borderId="19" xfId="0" applyNumberFormat="1" applyFont="1" applyFill="1" applyBorder="1" applyAlignment="1">
      <alignment horizontal="right" vertical="center" indent="1"/>
    </xf>
    <xf numFmtId="4" fontId="12" fillId="2" borderId="19" xfId="0" applyNumberFormat="1" applyFont="1" applyFill="1" applyBorder="1" applyAlignment="1">
      <alignment horizontal="left" vertical="center" indent="4"/>
    </xf>
    <xf numFmtId="4" fontId="12" fillId="2" borderId="19" xfId="0" applyNumberFormat="1" applyFont="1" applyFill="1" applyBorder="1" applyAlignment="1">
      <alignment horizontal="right" vertical="center" wrapText="1" indent="1"/>
    </xf>
    <xf numFmtId="4" fontId="8" fillId="2" borderId="19" xfId="0" applyNumberFormat="1" applyFont="1" applyFill="1" applyBorder="1" applyAlignment="1">
      <alignment horizontal="right" vertical="center" indent="1"/>
    </xf>
    <xf numFmtId="0" fontId="4" fillId="2" borderId="19" xfId="0" applyFont="1" applyFill="1" applyBorder="1" applyAlignment="1">
      <alignment horizontal="left" vertical="center"/>
    </xf>
    <xf numFmtId="0" fontId="12" fillId="2" borderId="19" xfId="1" applyFont="1" applyFill="1" applyBorder="1" applyAlignment="1">
      <alignment vertical="center" wrapText="1"/>
    </xf>
    <xf numFmtId="3" fontId="2" fillId="2" borderId="19" xfId="0" applyNumberFormat="1" applyFont="1" applyFill="1" applyBorder="1" applyAlignment="1">
      <alignment horizontal="right" vertical="center" indent="1"/>
    </xf>
    <xf numFmtId="4" fontId="12" fillId="2" borderId="19" xfId="0" applyNumberFormat="1" applyFont="1" applyFill="1" applyBorder="1" applyAlignment="1">
      <alignment horizontal="right" vertical="center" indent="1"/>
    </xf>
    <xf numFmtId="0" fontId="8" fillId="2" borderId="0" xfId="0" applyFont="1" applyFill="1" applyAlignment="1">
      <alignment horizontal="left" vertical="center"/>
    </xf>
    <xf numFmtId="0" fontId="2" fillId="2" borderId="24" xfId="0" applyFont="1" applyFill="1" applyBorder="1" applyAlignment="1">
      <alignment horizontal="center"/>
    </xf>
    <xf numFmtId="0" fontId="2" fillId="2" borderId="24" xfId="0" applyFont="1" applyFill="1" applyBorder="1" applyAlignment="1"/>
    <xf numFmtId="0" fontId="2" fillId="2" borderId="24" xfId="0" applyFont="1" applyFill="1" applyBorder="1" applyAlignment="1">
      <alignment horizontal="left" indent="1"/>
    </xf>
    <xf numFmtId="0" fontId="4" fillId="2" borderId="24" xfId="0" applyFont="1" applyFill="1" applyBorder="1" applyAlignment="1">
      <alignment horizontal="left" vertical="center"/>
    </xf>
    <xf numFmtId="0" fontId="12" fillId="2" borderId="28" xfId="1" applyFont="1" applyFill="1" applyBorder="1" applyAlignment="1">
      <alignment horizontal="left" vertical="center" wrapText="1"/>
    </xf>
    <xf numFmtId="3" fontId="12" fillId="2" borderId="24" xfId="0" applyNumberFormat="1" applyFont="1" applyFill="1" applyBorder="1" applyAlignment="1">
      <alignment horizontal="right" vertical="center" indent="1"/>
    </xf>
    <xf numFmtId="4" fontId="12" fillId="2" borderId="24" xfId="0" applyNumberFormat="1" applyFont="1" applyFill="1" applyBorder="1" applyAlignment="1">
      <alignment horizontal="right" vertical="center" indent="1"/>
    </xf>
    <xf numFmtId="0" fontId="12" fillId="2" borderId="28" xfId="1" applyFont="1" applyFill="1" applyBorder="1" applyAlignment="1">
      <alignment vertical="center" wrapText="1"/>
    </xf>
    <xf numFmtId="164" fontId="2" fillId="2" borderId="24" xfId="0" applyNumberFormat="1" applyFont="1" applyFill="1" applyBorder="1" applyAlignment="1">
      <alignment horizontal="right" vertical="center" indent="1"/>
    </xf>
    <xf numFmtId="169" fontId="2" fillId="2" borderId="24" xfId="0" applyNumberFormat="1" applyFont="1" applyFill="1" applyBorder="1" applyAlignment="1">
      <alignment horizontal="right" vertical="center" indent="1"/>
    </xf>
    <xf numFmtId="0" fontId="12" fillId="2" borderId="24" xfId="1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 indent="1"/>
    </xf>
    <xf numFmtId="0" fontId="8" fillId="2" borderId="32" xfId="0" applyFont="1" applyFill="1" applyBorder="1" applyAlignment="1">
      <alignment horizontal="right" vertical="center" wrapText="1" indent="1"/>
    </xf>
    <xf numFmtId="9" fontId="8" fillId="2" borderId="32" xfId="0" applyNumberFormat="1" applyFont="1" applyFill="1" applyBorder="1" applyAlignment="1">
      <alignment horizontal="right" vertical="center" wrapText="1" indent="1"/>
    </xf>
    <xf numFmtId="4" fontId="8" fillId="2" borderId="32" xfId="11" applyNumberFormat="1" applyFont="1" applyFill="1" applyBorder="1" applyAlignment="1">
      <alignment horizontal="right" vertical="center" wrapText="1" indent="1"/>
    </xf>
    <xf numFmtId="0" fontId="2" fillId="2" borderId="32" xfId="0" applyFont="1" applyFill="1" applyBorder="1"/>
    <xf numFmtId="0" fontId="8" fillId="2" borderId="32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left" vertical="center" indent="1"/>
    </xf>
    <xf numFmtId="3" fontId="4" fillId="2" borderId="32" xfId="0" applyNumberFormat="1" applyFont="1" applyFill="1" applyBorder="1" applyAlignment="1">
      <alignment horizontal="left" vertical="center" indent="1"/>
    </xf>
    <xf numFmtId="0" fontId="4" fillId="2" borderId="32" xfId="0" applyFont="1" applyFill="1" applyBorder="1" applyAlignment="1">
      <alignment horizontal="right" vertical="center" indent="1"/>
    </xf>
    <xf numFmtId="9" fontId="35" fillId="2" borderId="32" xfId="0" applyNumberFormat="1" applyFont="1" applyFill="1" applyBorder="1" applyAlignment="1">
      <alignment horizontal="right" vertical="center" indent="1"/>
    </xf>
    <xf numFmtId="3" fontId="8" fillId="2" borderId="32" xfId="0" applyNumberFormat="1" applyFont="1" applyFill="1" applyBorder="1" applyAlignment="1">
      <alignment horizontal="right" vertical="center" indent="1"/>
    </xf>
    <xf numFmtId="4" fontId="8" fillId="2" borderId="32" xfId="0" applyNumberFormat="1" applyFont="1" applyFill="1" applyBorder="1" applyAlignment="1">
      <alignment horizontal="right" vertical="center" indent="1"/>
    </xf>
    <xf numFmtId="4" fontId="8" fillId="2" borderId="32" xfId="11" applyNumberFormat="1" applyFont="1" applyFill="1" applyBorder="1" applyAlignment="1">
      <alignment horizontal="right" vertical="center" indent="1"/>
    </xf>
    <xf numFmtId="0" fontId="2" fillId="2" borderId="118" xfId="0" applyFont="1" applyFill="1" applyBorder="1" applyAlignment="1">
      <alignment horizontal="left" vertical="center" wrapText="1" indent="1"/>
    </xf>
    <xf numFmtId="0" fontId="2" fillId="2" borderId="118" xfId="0" applyFont="1" applyFill="1" applyBorder="1" applyAlignment="1">
      <alignment horizontal="right" vertical="center" indent="1"/>
    </xf>
    <xf numFmtId="1" fontId="2" fillId="2" borderId="118" xfId="0" applyNumberFormat="1" applyFont="1" applyFill="1" applyBorder="1" applyAlignment="1">
      <alignment horizontal="right" vertical="center" indent="1"/>
    </xf>
    <xf numFmtId="4" fontId="2" fillId="2" borderId="118" xfId="0" applyNumberFormat="1" applyFont="1" applyFill="1" applyBorder="1" applyAlignment="1">
      <alignment horizontal="right" vertical="center" indent="1"/>
    </xf>
    <xf numFmtId="0" fontId="25" fillId="2" borderId="118" xfId="0" applyFont="1" applyFill="1" applyBorder="1" applyAlignment="1">
      <alignment horizontal="left" vertical="center" wrapText="1" indent="1"/>
    </xf>
    <xf numFmtId="3" fontId="2" fillId="2" borderId="118" xfId="0" applyNumberFormat="1" applyFont="1" applyFill="1" applyBorder="1" applyAlignment="1">
      <alignment horizontal="right" vertical="center" indent="1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/>
    <xf numFmtId="0" fontId="12" fillId="2" borderId="32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 indent="1"/>
    </xf>
    <xf numFmtId="3" fontId="12" fillId="2" borderId="34" xfId="0" applyNumberFormat="1" applyFont="1" applyFill="1" applyBorder="1" applyAlignment="1">
      <alignment horizontal="right" vertical="center" indent="1"/>
    </xf>
    <xf numFmtId="4" fontId="12" fillId="2" borderId="34" xfId="0" applyNumberFormat="1" applyFont="1" applyFill="1" applyBorder="1" applyAlignment="1">
      <alignment horizontal="right" vertical="center" indent="1"/>
    </xf>
    <xf numFmtId="165" fontId="2" fillId="2" borderId="32" xfId="0" applyNumberFormat="1" applyFont="1" applyFill="1" applyBorder="1" applyAlignment="1">
      <alignment horizontal="right" vertical="center" indent="1"/>
    </xf>
    <xf numFmtId="9" fontId="2" fillId="2" borderId="32" xfId="11" applyFont="1" applyFill="1" applyBorder="1" applyAlignment="1">
      <alignment horizontal="right" vertical="center" indent="1"/>
    </xf>
    <xf numFmtId="3" fontId="11" fillId="2" borderId="32" xfId="0" applyNumberFormat="1" applyFont="1" applyFill="1" applyBorder="1" applyAlignment="1">
      <alignment horizontal="right" vertical="center" indent="1"/>
    </xf>
    <xf numFmtId="4" fontId="12" fillId="2" borderId="32" xfId="9" applyNumberFormat="1" applyFont="1" applyFill="1" applyBorder="1" applyAlignment="1">
      <alignment horizontal="right" vertical="center" indent="1"/>
    </xf>
    <xf numFmtId="4" fontId="2" fillId="2" borderId="32" xfId="11" applyNumberFormat="1" applyFont="1" applyFill="1" applyBorder="1" applyAlignment="1">
      <alignment horizontal="right" vertical="center" indent="1"/>
    </xf>
    <xf numFmtId="0" fontId="18" fillId="2" borderId="32" xfId="5" applyFont="1" applyFill="1" applyBorder="1" applyAlignment="1">
      <alignment horizontal="center" vertical="center" wrapText="1"/>
    </xf>
    <xf numFmtId="0" fontId="8" fillId="2" borderId="32" xfId="5" applyFont="1" applyFill="1" applyBorder="1" applyAlignment="1">
      <alignment horizontal="left" vertical="center" wrapText="1"/>
    </xf>
    <xf numFmtId="0" fontId="8" fillId="2" borderId="32" xfId="5" applyFont="1" applyFill="1" applyBorder="1" applyAlignment="1">
      <alignment horizontal="left" vertical="center" wrapText="1" indent="1"/>
    </xf>
    <xf numFmtId="0" fontId="8" fillId="2" borderId="32" xfId="5" applyFont="1" applyFill="1" applyBorder="1" applyAlignment="1">
      <alignment horizontal="right" vertical="center" indent="1"/>
    </xf>
    <xf numFmtId="2" fontId="8" fillId="2" borderId="32" xfId="5" applyNumberFormat="1" applyFont="1" applyFill="1" applyBorder="1" applyAlignment="1">
      <alignment horizontal="right" vertical="center" indent="1"/>
    </xf>
    <xf numFmtId="41" fontId="8" fillId="2" borderId="32" xfId="5" applyNumberFormat="1" applyFont="1" applyFill="1" applyBorder="1" applyAlignment="1">
      <alignment horizontal="right" vertical="center" wrapText="1" indent="1"/>
    </xf>
    <xf numFmtId="175" fontId="8" fillId="2" borderId="32" xfId="5" applyNumberFormat="1" applyFont="1" applyFill="1" applyBorder="1" applyAlignment="1">
      <alignment horizontal="right" vertical="center" wrapText="1" indent="1"/>
    </xf>
    <xf numFmtId="49" fontId="4" fillId="2" borderId="32" xfId="5" applyNumberFormat="1" applyFont="1" applyFill="1" applyBorder="1" applyAlignment="1">
      <alignment vertical="top"/>
    </xf>
    <xf numFmtId="0" fontId="12" fillId="2" borderId="32" xfId="5" applyFont="1" applyFill="1" applyBorder="1" applyAlignment="1">
      <alignment vertical="center" wrapText="1"/>
    </xf>
    <xf numFmtId="0" fontId="12" fillId="2" borderId="32" xfId="5" applyFont="1" applyFill="1" applyBorder="1" applyAlignment="1">
      <alignment horizontal="left" vertical="center" indent="1"/>
    </xf>
    <xf numFmtId="0" fontId="8" fillId="2" borderId="32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4" fontId="8" fillId="2" borderId="32" xfId="5" applyNumberFormat="1" applyFont="1" applyFill="1" applyBorder="1" applyAlignment="1">
      <alignment horizontal="right" vertical="center" indent="1"/>
    </xf>
    <xf numFmtId="1" fontId="2" fillId="2" borderId="32" xfId="0" applyNumberFormat="1" applyFont="1" applyFill="1" applyBorder="1" applyAlignment="1">
      <alignment horizontal="right" vertical="center" indent="1"/>
    </xf>
    <xf numFmtId="0" fontId="3" fillId="2" borderId="68" xfId="0" applyFont="1" applyFill="1" applyBorder="1" applyAlignment="1">
      <alignment horizontal="left" indent="1"/>
    </xf>
    <xf numFmtId="0" fontId="3" fillId="2" borderId="68" xfId="0" applyFont="1" applyFill="1" applyBorder="1" applyAlignment="1">
      <alignment horizontal="right" indent="1"/>
    </xf>
    <xf numFmtId="1" fontId="2" fillId="2" borderId="68" xfId="0" applyNumberFormat="1" applyFont="1" applyFill="1" applyBorder="1" applyAlignment="1">
      <alignment horizontal="right" vertical="center" indent="1"/>
    </xf>
    <xf numFmtId="2" fontId="2" fillId="2" borderId="68" xfId="0" applyNumberFormat="1" applyFont="1" applyFill="1" applyBorder="1" applyAlignment="1">
      <alignment horizontal="right" vertical="center" indent="1"/>
    </xf>
    <xf numFmtId="0" fontId="8" fillId="2" borderId="68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 wrapText="1"/>
    </xf>
    <xf numFmtId="0" fontId="12" fillId="2" borderId="68" xfId="0" applyFont="1" applyFill="1" applyBorder="1" applyAlignment="1">
      <alignment horizontal="left" vertical="center" indent="1"/>
    </xf>
    <xf numFmtId="0" fontId="2" fillId="2" borderId="44" xfId="0" applyFont="1" applyFill="1" applyBorder="1" applyAlignment="1">
      <alignment horizontal="justify" vertical="center" wrapText="1"/>
    </xf>
    <xf numFmtId="1" fontId="2" fillId="2" borderId="44" xfId="0" applyNumberFormat="1" applyFont="1" applyFill="1" applyBorder="1" applyAlignment="1">
      <alignment horizontal="right" vertical="center" indent="1"/>
    </xf>
    <xf numFmtId="2" fontId="2" fillId="2" borderId="44" xfId="0" applyNumberFormat="1" applyFont="1" applyFill="1" applyBorder="1" applyAlignment="1">
      <alignment horizontal="right" vertical="center" indent="1"/>
    </xf>
    <xf numFmtId="0" fontId="8" fillId="2" borderId="47" xfId="0" applyFont="1" applyFill="1" applyBorder="1" applyAlignment="1">
      <alignment horizontal="left" vertical="center"/>
    </xf>
    <xf numFmtId="0" fontId="2" fillId="2" borderId="44" xfId="0" applyFont="1" applyFill="1" applyBorder="1"/>
    <xf numFmtId="0" fontId="2" fillId="2" borderId="44" xfId="0" applyFont="1" applyFill="1" applyBorder="1" applyAlignment="1">
      <alignment horizontal="left" indent="1"/>
    </xf>
    <xf numFmtId="3" fontId="8" fillId="2" borderId="44" xfId="0" applyNumberFormat="1" applyFont="1" applyFill="1" applyBorder="1" applyAlignment="1">
      <alignment horizontal="right" vertical="center" indent="1"/>
    </xf>
    <xf numFmtId="4" fontId="8" fillId="2" borderId="44" xfId="0" applyNumberFormat="1" applyFont="1" applyFill="1" applyBorder="1" applyAlignment="1">
      <alignment horizontal="right" vertical="center" indent="1"/>
    </xf>
    <xf numFmtId="2" fontId="8" fillId="2" borderId="44" xfId="0" applyNumberFormat="1" applyFont="1" applyFill="1" applyBorder="1" applyAlignment="1">
      <alignment horizontal="right" vertical="center" indent="1"/>
    </xf>
    <xf numFmtId="0" fontId="8" fillId="2" borderId="44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12" fillId="2" borderId="49" xfId="0" applyFont="1" applyFill="1" applyBorder="1" applyAlignment="1">
      <alignment horizontal="left" vertical="center" wrapText="1" indent="1"/>
    </xf>
    <xf numFmtId="3" fontId="12" fillId="2" borderId="47" xfId="0" applyNumberFormat="1" applyFont="1" applyFill="1" applyBorder="1" applyAlignment="1">
      <alignment horizontal="right" vertical="center" indent="1"/>
    </xf>
    <xf numFmtId="4" fontId="12" fillId="2" borderId="47" xfId="0" applyNumberFormat="1" applyFont="1" applyFill="1" applyBorder="1" applyAlignment="1">
      <alignment horizontal="right" vertical="center" indent="1"/>
    </xf>
    <xf numFmtId="0" fontId="8" fillId="2" borderId="47" xfId="0" applyFont="1" applyFill="1" applyBorder="1" applyAlignment="1">
      <alignment vertical="center"/>
    </xf>
    <xf numFmtId="0" fontId="27" fillId="2" borderId="0" xfId="0" applyFont="1" applyFill="1"/>
    <xf numFmtId="0" fontId="8" fillId="2" borderId="49" xfId="0" applyFont="1" applyFill="1" applyBorder="1" applyAlignment="1">
      <alignment vertical="center"/>
    </xf>
    <xf numFmtId="0" fontId="27" fillId="2" borderId="44" xfId="0" applyFont="1" applyFill="1" applyBorder="1" applyAlignment="1">
      <alignment horizontal="left" vertical="center" indent="1"/>
    </xf>
    <xf numFmtId="3" fontId="27" fillId="2" borderId="44" xfId="0" applyNumberFormat="1" applyFont="1" applyFill="1" applyBorder="1" applyAlignment="1">
      <alignment horizontal="right" vertical="center" indent="1"/>
    </xf>
    <xf numFmtId="4" fontId="27" fillId="2" borderId="44" xfId="0" applyNumberFormat="1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left" vertical="center" indent="1"/>
    </xf>
    <xf numFmtId="3" fontId="12" fillId="2" borderId="44" xfId="0" applyNumberFormat="1" applyFont="1" applyFill="1" applyBorder="1" applyAlignment="1">
      <alignment horizontal="right" vertical="center" indent="1"/>
    </xf>
    <xf numFmtId="4" fontId="12" fillId="2" borderId="44" xfId="0" applyNumberFormat="1" applyFont="1" applyFill="1" applyBorder="1" applyAlignment="1">
      <alignment horizontal="right" vertical="center" indent="1"/>
    </xf>
    <xf numFmtId="164" fontId="12" fillId="2" borderId="44" xfId="0" applyNumberFormat="1" applyFont="1" applyFill="1" applyBorder="1" applyAlignment="1">
      <alignment horizontal="right" vertical="center" indent="1"/>
    </xf>
    <xf numFmtId="169" fontId="12" fillId="2" borderId="44" xfId="0" applyNumberFormat="1" applyFont="1" applyFill="1" applyBorder="1" applyAlignment="1">
      <alignment horizontal="right" vertical="center" indent="1"/>
    </xf>
    <xf numFmtId="0" fontId="2" fillId="2" borderId="50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left" vertical="center"/>
    </xf>
    <xf numFmtId="0" fontId="12" fillId="2" borderId="50" xfId="0" applyFont="1" applyFill="1" applyBorder="1" applyAlignment="1">
      <alignment horizontal="left" vertical="center" wrapText="1" indent="1"/>
    </xf>
    <xf numFmtId="0" fontId="2" fillId="2" borderId="50" xfId="0" applyFont="1" applyFill="1" applyBorder="1" applyAlignment="1">
      <alignment horizontal="right" vertical="center" indent="1"/>
    </xf>
    <xf numFmtId="4" fontId="2" fillId="2" borderId="50" xfId="0" applyNumberFormat="1" applyFont="1" applyFill="1" applyBorder="1" applyAlignment="1">
      <alignment horizontal="right" vertical="center" indent="1"/>
    </xf>
    <xf numFmtId="3" fontId="11" fillId="2" borderId="50" xfId="0" applyNumberFormat="1" applyFont="1" applyFill="1" applyBorder="1" applyAlignment="1">
      <alignment horizontal="right" vertical="center" indent="1"/>
    </xf>
    <xf numFmtId="4" fontId="12" fillId="2" borderId="50" xfId="9" applyNumberFormat="1" applyFont="1" applyFill="1" applyBorder="1" applyAlignment="1">
      <alignment horizontal="right" vertical="center" indent="1"/>
    </xf>
    <xf numFmtId="0" fontId="2" fillId="2" borderId="5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indent="1"/>
    </xf>
    <xf numFmtId="43" fontId="2" fillId="2" borderId="50" xfId="0" applyNumberFormat="1" applyFont="1" applyFill="1" applyBorder="1" applyAlignment="1">
      <alignment horizontal="right" vertical="center" indent="1"/>
    </xf>
    <xf numFmtId="0" fontId="2" fillId="2" borderId="50" xfId="0" applyFont="1" applyFill="1" applyBorder="1" applyAlignment="1">
      <alignment horizontal="left" vertical="center" indent="1"/>
    </xf>
    <xf numFmtId="0" fontId="2" fillId="2" borderId="50" xfId="0" applyFont="1" applyFill="1" applyBorder="1" applyAlignment="1">
      <alignment horizontal="left" vertical="center" wrapText="1" indent="1"/>
    </xf>
    <xf numFmtId="0" fontId="17" fillId="2" borderId="50" xfId="0" applyFont="1" applyFill="1" applyBorder="1" applyAlignment="1">
      <alignment horizontal="right" vertical="center" wrapText="1" indent="1"/>
    </xf>
    <xf numFmtId="165" fontId="2" fillId="2" borderId="50" xfId="0" applyNumberFormat="1" applyFont="1" applyFill="1" applyBorder="1" applyAlignment="1">
      <alignment horizontal="right" vertical="center" wrapText="1"/>
    </xf>
    <xf numFmtId="0" fontId="3" fillId="2" borderId="50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vertical="center" wrapText="1"/>
    </xf>
    <xf numFmtId="0" fontId="18" fillId="2" borderId="50" xfId="0" applyFont="1" applyFill="1" applyBorder="1" applyAlignment="1">
      <alignment horizontal="left" vertical="center" indent="1"/>
    </xf>
    <xf numFmtId="0" fontId="18" fillId="2" borderId="50" xfId="0" applyFont="1" applyFill="1" applyBorder="1" applyAlignment="1">
      <alignment horizontal="left" vertical="center" wrapText="1"/>
    </xf>
    <xf numFmtId="1" fontId="18" fillId="2" borderId="50" xfId="0" applyNumberFormat="1" applyFont="1" applyFill="1" applyBorder="1" applyAlignment="1">
      <alignment horizontal="right" vertical="center" indent="1"/>
    </xf>
    <xf numFmtId="1" fontId="18" fillId="2" borderId="50" xfId="0" applyNumberFormat="1" applyFont="1" applyFill="1" applyBorder="1" applyAlignment="1">
      <alignment horizontal="right" indent="1"/>
    </xf>
    <xf numFmtId="178" fontId="18" fillId="2" borderId="50" xfId="11" applyNumberFormat="1" applyFont="1" applyFill="1" applyBorder="1" applyAlignment="1">
      <alignment horizontal="right" vertical="center" indent="1"/>
    </xf>
    <xf numFmtId="3" fontId="18" fillId="2" borderId="50" xfId="0" applyNumberFormat="1" applyFont="1" applyFill="1" applyBorder="1" applyAlignment="1">
      <alignment horizontal="right" vertical="center" indent="1"/>
    </xf>
    <xf numFmtId="4" fontId="18" fillId="2" borderId="50" xfId="0" applyNumberFormat="1" applyFont="1" applyFill="1" applyBorder="1" applyAlignment="1">
      <alignment horizontal="right" vertical="center" indent="1"/>
    </xf>
    <xf numFmtId="4" fontId="18" fillId="2" borderId="50" xfId="11" applyNumberFormat="1" applyFont="1" applyFill="1" applyBorder="1" applyAlignment="1">
      <alignment horizontal="right" vertical="center" indent="1"/>
    </xf>
    <xf numFmtId="0" fontId="2" fillId="2" borderId="50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/>
    </xf>
    <xf numFmtId="1" fontId="2" fillId="2" borderId="50" xfId="0" applyNumberFormat="1" applyFont="1" applyFill="1" applyBorder="1" applyAlignment="1">
      <alignment horizontal="right" vertical="center" indent="1"/>
    </xf>
    <xf numFmtId="3" fontId="12" fillId="2" borderId="50" xfId="0" applyNumberFormat="1" applyFont="1" applyFill="1" applyBorder="1" applyAlignment="1">
      <alignment horizontal="right" vertical="center" indent="1"/>
    </xf>
    <xf numFmtId="2" fontId="2" fillId="2" borderId="50" xfId="0" applyNumberFormat="1" applyFont="1" applyFill="1" applyBorder="1" applyAlignment="1">
      <alignment horizontal="right" vertical="center" indent="1"/>
    </xf>
    <xf numFmtId="0" fontId="11" fillId="2" borderId="50" xfId="0" applyFont="1" applyFill="1" applyBorder="1" applyAlignment="1">
      <alignment horizontal="left" vertical="center" wrapText="1"/>
    </xf>
    <xf numFmtId="0" fontId="17" fillId="2" borderId="50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indent="1"/>
    </xf>
    <xf numFmtId="0" fontId="3" fillId="2" borderId="50" xfId="0" applyFont="1" applyFill="1" applyBorder="1" applyAlignment="1">
      <alignment horizontal="right" indent="1"/>
    </xf>
    <xf numFmtId="3" fontId="2" fillId="2" borderId="50" xfId="0" applyNumberFormat="1" applyFont="1" applyFill="1" applyBorder="1" applyAlignment="1">
      <alignment horizontal="right" vertical="center" indent="1"/>
    </xf>
    <xf numFmtId="0" fontId="2" fillId="2" borderId="50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left" indent="1"/>
    </xf>
    <xf numFmtId="0" fontId="2" fillId="2" borderId="50" xfId="0" applyFont="1" applyFill="1" applyBorder="1"/>
    <xf numFmtId="0" fontId="4" fillId="2" borderId="50" xfId="0" applyFont="1" applyFill="1" applyBorder="1" applyAlignment="1">
      <alignment horizontal="left" vertical="center" wrapText="1"/>
    </xf>
    <xf numFmtId="165" fontId="2" fillId="2" borderId="50" xfId="0" applyNumberFormat="1" applyFont="1" applyFill="1" applyBorder="1" applyAlignment="1">
      <alignment horizontal="right" vertical="center"/>
    </xf>
    <xf numFmtId="9" fontId="2" fillId="2" borderId="50" xfId="11" applyFont="1" applyFill="1" applyBorder="1" applyAlignment="1">
      <alignment horizontal="right" vertical="center"/>
    </xf>
    <xf numFmtId="0" fontId="18" fillId="2" borderId="51" xfId="0" applyFont="1" applyFill="1" applyBorder="1" applyAlignment="1">
      <alignment horizontal="left" vertical="center" indent="1"/>
    </xf>
    <xf numFmtId="0" fontId="18" fillId="2" borderId="50" xfId="0" applyFont="1" applyFill="1" applyBorder="1" applyAlignment="1">
      <alignment horizontal="left" vertical="center" wrapText="1" indent="1"/>
    </xf>
    <xf numFmtId="169" fontId="18" fillId="2" borderId="50" xfId="0" applyNumberFormat="1" applyFont="1" applyFill="1" applyBorder="1" applyAlignment="1">
      <alignment horizontal="right" vertical="center" indent="1"/>
    </xf>
    <xf numFmtId="0" fontId="8" fillId="2" borderId="15" xfId="0" applyFont="1" applyFill="1" applyBorder="1" applyAlignment="1">
      <alignment horizontal="left" vertical="center"/>
    </xf>
    <xf numFmtId="0" fontId="2" fillId="2" borderId="90" xfId="0" applyFont="1" applyFill="1" applyBorder="1" applyAlignment="1">
      <alignment horizontal="left" indent="1"/>
    </xf>
    <xf numFmtId="0" fontId="2" fillId="2" borderId="90" xfId="0" applyFont="1" applyFill="1" applyBorder="1" applyAlignment="1">
      <alignment horizontal="right" indent="1"/>
    </xf>
    <xf numFmtId="0" fontId="2" fillId="2" borderId="90" xfId="0" applyFont="1" applyFill="1" applyBorder="1"/>
    <xf numFmtId="1" fontId="2" fillId="2" borderId="90" xfId="0" applyNumberFormat="1" applyFont="1" applyFill="1" applyBorder="1" applyAlignment="1">
      <alignment horizontal="right" vertical="center" indent="1"/>
    </xf>
    <xf numFmtId="0" fontId="27" fillId="2" borderId="0" xfId="0" applyFont="1" applyFill="1" applyBorder="1"/>
    <xf numFmtId="0" fontId="27" fillId="2" borderId="90" xfId="0" applyFont="1" applyFill="1" applyBorder="1" applyAlignment="1">
      <alignment horizontal="left" indent="1"/>
    </xf>
    <xf numFmtId="0" fontId="27" fillId="2" borderId="90" xfId="0" applyFont="1" applyFill="1" applyBorder="1" applyAlignment="1">
      <alignment horizontal="right" indent="1"/>
    </xf>
    <xf numFmtId="0" fontId="27" fillId="2" borderId="90" xfId="0" applyFont="1" applyFill="1" applyBorder="1"/>
    <xf numFmtId="0" fontId="27" fillId="2" borderId="90" xfId="0" applyFont="1" applyFill="1" applyBorder="1" applyAlignment="1">
      <alignment horizontal="center"/>
    </xf>
    <xf numFmtId="0" fontId="12" fillId="2" borderId="90" xfId="0" applyFont="1" applyFill="1" applyBorder="1" applyAlignment="1">
      <alignment horizontal="right" vertical="center" wrapText="1" indent="1"/>
    </xf>
    <xf numFmtId="0" fontId="18" fillId="2" borderId="90" xfId="1" applyFont="1" applyFill="1" applyBorder="1" applyAlignment="1">
      <alignment horizontal="left" vertical="center" wrapText="1"/>
    </xf>
    <xf numFmtId="170" fontId="18" fillId="2" borderId="90" xfId="12" applyNumberFormat="1" applyFont="1" applyFill="1" applyBorder="1" applyAlignment="1">
      <alignment horizontal="right" vertical="center" indent="1"/>
    </xf>
    <xf numFmtId="179" fontId="18" fillId="2" borderId="90" xfId="12" applyNumberFormat="1" applyFont="1" applyFill="1" applyBorder="1" applyAlignment="1">
      <alignment horizontal="right" vertical="center" indent="1"/>
    </xf>
    <xf numFmtId="4" fontId="18" fillId="2" borderId="90" xfId="1" applyNumberFormat="1" applyFont="1" applyFill="1" applyBorder="1" applyAlignment="1">
      <alignment horizontal="right" vertical="center" wrapText="1" indent="1"/>
    </xf>
    <xf numFmtId="0" fontId="12" fillId="2" borderId="44" xfId="0" applyFont="1" applyFill="1" applyBorder="1" applyAlignment="1">
      <alignment horizontal="right" vertical="center" indent="1"/>
    </xf>
    <xf numFmtId="179" fontId="54" fillId="2" borderId="124" xfId="12" applyNumberFormat="1" applyFont="1" applyFill="1" applyBorder="1" applyAlignment="1">
      <alignment horizontal="right" vertical="center" indent="1"/>
    </xf>
    <xf numFmtId="4" fontId="54" fillId="2" borderId="118" xfId="1" applyNumberFormat="1" applyFont="1" applyFill="1" applyBorder="1" applyAlignment="1">
      <alignment horizontal="right" vertical="center" wrapText="1" indent="1"/>
    </xf>
    <xf numFmtId="43" fontId="15" fillId="0" borderId="0" xfId="9" applyFont="1"/>
    <xf numFmtId="0" fontId="2" fillId="2" borderId="107" xfId="0" applyFont="1" applyFill="1" applyBorder="1" applyAlignment="1">
      <alignment horizontal="left" vertical="center" indent="1"/>
    </xf>
    <xf numFmtId="0" fontId="3" fillId="2" borderId="108" xfId="0" applyFont="1" applyFill="1" applyBorder="1" applyAlignment="1">
      <alignment horizontal="left" vertical="center"/>
    </xf>
    <xf numFmtId="0" fontId="2" fillId="2" borderId="107" xfId="0" applyFont="1" applyFill="1" applyBorder="1" applyAlignment="1">
      <alignment horizontal="left" vertical="center" wrapText="1"/>
    </xf>
    <xf numFmtId="0" fontId="2" fillId="2" borderId="110" xfId="0" applyFont="1" applyFill="1" applyBorder="1" applyAlignment="1">
      <alignment horizontal="right" vertical="center"/>
    </xf>
    <xf numFmtId="0" fontId="2" fillId="2" borderId="110" xfId="0" applyFont="1" applyFill="1" applyBorder="1" applyAlignment="1">
      <alignment horizontal="left" vertical="center" wrapText="1"/>
    </xf>
    <xf numFmtId="0" fontId="3" fillId="2" borderId="110" xfId="0" applyFont="1" applyFill="1" applyBorder="1" applyAlignment="1">
      <alignment horizontal="left" vertical="center"/>
    </xf>
    <xf numFmtId="0" fontId="8" fillId="2" borderId="110" xfId="0" applyFont="1" applyFill="1" applyBorder="1" applyAlignment="1">
      <alignment horizontal="left" vertical="center"/>
    </xf>
    <xf numFmtId="0" fontId="8" fillId="2" borderId="110" xfId="0" applyFont="1" applyFill="1" applyBorder="1" applyAlignment="1">
      <alignment horizontal="left" vertical="center" wrapText="1"/>
    </xf>
    <xf numFmtId="3" fontId="18" fillId="2" borderId="110" xfId="0" applyNumberFormat="1" applyFont="1" applyFill="1" applyBorder="1" applyAlignment="1">
      <alignment horizontal="right" vertical="center" indent="1"/>
    </xf>
    <xf numFmtId="4" fontId="8" fillId="2" borderId="110" xfId="0" applyNumberFormat="1" applyFont="1" applyFill="1" applyBorder="1" applyAlignment="1">
      <alignment horizontal="right" vertical="center" indent="1"/>
    </xf>
    <xf numFmtId="3" fontId="18" fillId="2" borderId="110" xfId="0" applyNumberFormat="1" applyFont="1" applyFill="1" applyBorder="1" applyAlignment="1">
      <alignment horizontal="center" vertical="center" wrapText="1"/>
    </xf>
    <xf numFmtId="3" fontId="8" fillId="2" borderId="110" xfId="0" applyNumberFormat="1" applyFont="1" applyFill="1" applyBorder="1" applyAlignment="1">
      <alignment horizontal="left" vertical="center"/>
    </xf>
    <xf numFmtId="2" fontId="8" fillId="2" borderId="110" xfId="0" applyNumberFormat="1" applyFont="1" applyFill="1" applyBorder="1" applyAlignment="1">
      <alignment horizontal="right" vertical="center" wrapText="1" indent="1"/>
    </xf>
    <xf numFmtId="3" fontId="8" fillId="2" borderId="90" xfId="0" applyNumberFormat="1" applyFont="1" applyFill="1" applyBorder="1" applyAlignment="1">
      <alignment horizontal="right" vertical="center" indent="1"/>
    </xf>
    <xf numFmtId="2" fontId="8" fillId="2" borderId="90" xfId="0" applyNumberFormat="1" applyFont="1" applyFill="1" applyBorder="1" applyAlignment="1">
      <alignment horizontal="right" vertical="center" indent="1"/>
    </xf>
    <xf numFmtId="171" fontId="25" fillId="2" borderId="90" xfId="13" applyNumberFormat="1" applyFont="1" applyFill="1" applyBorder="1" applyAlignment="1">
      <alignment horizontal="right" vertical="center" indent="1"/>
    </xf>
    <xf numFmtId="173" fontId="25" fillId="2" borderId="90" xfId="0" applyNumberFormat="1" applyFont="1" applyFill="1" applyBorder="1" applyAlignment="1">
      <alignment horizontal="right" vertical="center" indent="1"/>
    </xf>
    <xf numFmtId="171" fontId="2" fillId="2" borderId="90" xfId="13" applyNumberFormat="1" applyFont="1" applyFill="1" applyBorder="1" applyAlignment="1">
      <alignment horizontal="right" vertical="center" indent="1"/>
    </xf>
    <xf numFmtId="4" fontId="8" fillId="2" borderId="90" xfId="0" applyNumberFormat="1" applyFont="1" applyFill="1" applyBorder="1" applyAlignment="1">
      <alignment horizontal="left" vertical="center" indent="1"/>
    </xf>
    <xf numFmtId="170" fontId="54" fillId="2" borderId="107" xfId="12" applyNumberFormat="1" applyFont="1" applyFill="1" applyBorder="1" applyAlignment="1">
      <alignment horizontal="right" vertical="center" indent="1"/>
    </xf>
    <xf numFmtId="170" fontId="54" fillId="2" borderId="124" xfId="12" applyNumberFormat="1" applyFont="1" applyFill="1" applyBorder="1" applyAlignment="1">
      <alignment horizontal="right" vertical="center" indent="1"/>
    </xf>
    <xf numFmtId="170" fontId="57" fillId="28" borderId="62" xfId="1" applyNumberFormat="1" applyFont="1" applyFill="1" applyBorder="1" applyAlignment="1">
      <alignment horizontal="right" vertical="center" indent="1"/>
    </xf>
    <xf numFmtId="179" fontId="57" fillId="28" borderId="62" xfId="1" applyNumberFormat="1" applyFont="1" applyFill="1" applyBorder="1" applyAlignment="1">
      <alignment horizontal="right" vertical="center" indent="1"/>
    </xf>
    <xf numFmtId="4" fontId="57" fillId="28" borderId="62" xfId="1" applyNumberFormat="1" applyFont="1" applyFill="1" applyBorder="1" applyAlignment="1">
      <alignment horizontal="right" vertical="center" wrapText="1" indent="1"/>
    </xf>
    <xf numFmtId="170" fontId="54" fillId="22" borderId="105" xfId="1" applyNumberFormat="1" applyFont="1" applyFill="1" applyBorder="1" applyAlignment="1">
      <alignment horizontal="right" vertical="center" indent="1"/>
    </xf>
    <xf numFmtId="170" fontId="54" fillId="2" borderId="106" xfId="12" applyNumberFormat="1" applyFont="1" applyFill="1" applyBorder="1" applyAlignment="1">
      <alignment horizontal="right" vertical="center" indent="1"/>
    </xf>
    <xf numFmtId="0" fontId="57" fillId="29" borderId="62" xfId="1" applyFont="1" applyFill="1" applyBorder="1" applyAlignment="1">
      <alignment horizontal="center" vertical="center" wrapText="1"/>
    </xf>
    <xf numFmtId="0" fontId="15" fillId="29" borderId="62" xfId="1" applyFont="1" applyFill="1" applyBorder="1" applyAlignment="1">
      <alignment vertical="center"/>
    </xf>
    <xf numFmtId="4" fontId="18" fillId="2" borderId="76" xfId="11" applyNumberFormat="1" applyFont="1" applyFill="1" applyBorder="1" applyAlignment="1">
      <alignment horizontal="right" vertical="center" indent="1"/>
    </xf>
    <xf numFmtId="4" fontId="18" fillId="2" borderId="76" xfId="11" applyNumberFormat="1" applyFont="1" applyFill="1" applyBorder="1" applyAlignment="1">
      <alignment horizontal="right" vertical="center" wrapText="1" indent="1"/>
    </xf>
    <xf numFmtId="4" fontId="12" fillId="2" borderId="76" xfId="11" applyNumberFormat="1" applyFont="1" applyFill="1" applyBorder="1" applyAlignment="1">
      <alignment horizontal="right" vertical="center" wrapText="1" indent="1"/>
    </xf>
    <xf numFmtId="3" fontId="8" fillId="2" borderId="76" xfId="0" applyNumberFormat="1" applyFont="1" applyFill="1" applyBorder="1" applyAlignment="1">
      <alignment horizontal="right" vertical="center" wrapText="1" indent="1"/>
    </xf>
    <xf numFmtId="4" fontId="8" fillId="2" borderId="76" xfId="0" applyNumberFormat="1" applyFont="1" applyFill="1" applyBorder="1" applyAlignment="1">
      <alignment horizontal="right" vertical="center" wrapText="1" indent="1"/>
    </xf>
    <xf numFmtId="3" fontId="12" fillId="2" borderId="76" xfId="0" applyNumberFormat="1" applyFont="1" applyFill="1" applyBorder="1" applyAlignment="1">
      <alignment horizontal="right" vertical="center" indent="1"/>
    </xf>
    <xf numFmtId="4" fontId="12" fillId="2" borderId="76" xfId="0" applyNumberFormat="1" applyFont="1" applyFill="1" applyBorder="1" applyAlignment="1">
      <alignment horizontal="right" vertical="center" indent="1"/>
    </xf>
    <xf numFmtId="3" fontId="8" fillId="2" borderId="76" xfId="0" applyNumberFormat="1" applyFont="1" applyFill="1" applyBorder="1" applyAlignment="1">
      <alignment horizontal="right" vertical="center" indent="1"/>
    </xf>
    <xf numFmtId="4" fontId="18" fillId="2" borderId="76" xfId="9" applyNumberFormat="1" applyFont="1" applyFill="1" applyBorder="1" applyAlignment="1">
      <alignment horizontal="right" vertical="center" indent="1"/>
    </xf>
    <xf numFmtId="173" fontId="8" fillId="2" borderId="76" xfId="0" applyNumberFormat="1" applyFont="1" applyFill="1" applyBorder="1" applyAlignment="1">
      <alignment horizontal="right" vertical="center" wrapText="1" indent="1"/>
    </xf>
    <xf numFmtId="4" fontId="12" fillId="2" borderId="89" xfId="0" applyNumberFormat="1" applyFont="1" applyFill="1" applyBorder="1" applyAlignment="1">
      <alignment horizontal="right" vertical="center" wrapText="1" indent="1"/>
    </xf>
    <xf numFmtId="177" fontId="8" fillId="2" borderId="76" xfId="9" applyNumberFormat="1" applyFont="1" applyFill="1" applyBorder="1" applyAlignment="1">
      <alignment horizontal="right" vertical="center" wrapText="1" indent="1"/>
    </xf>
    <xf numFmtId="4" fontId="8" fillId="2" borderId="76" xfId="9" applyNumberFormat="1" applyFont="1" applyFill="1" applyBorder="1" applyAlignment="1">
      <alignment horizontal="right" vertical="center" wrapText="1" indent="1"/>
    </xf>
    <xf numFmtId="3" fontId="0" fillId="0" borderId="0" xfId="0" applyNumberFormat="1"/>
    <xf numFmtId="3" fontId="66" fillId="0" borderId="0" xfId="0" applyNumberFormat="1" applyFont="1"/>
    <xf numFmtId="4" fontId="66" fillId="0" borderId="0" xfId="0" applyNumberFormat="1" applyFont="1"/>
    <xf numFmtId="4" fontId="23" fillId="2" borderId="90" xfId="0" applyNumberFormat="1" applyFont="1" applyFill="1" applyBorder="1" applyAlignment="1">
      <alignment horizontal="right" vertical="center" indent="1"/>
    </xf>
    <xf numFmtId="3" fontId="2" fillId="0" borderId="91" xfId="0" applyNumberFormat="1" applyFont="1" applyBorder="1" applyAlignment="1">
      <alignment horizontal="right" indent="1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4" fontId="18" fillId="0" borderId="0" xfId="0" applyNumberFormat="1" applyFont="1" applyBorder="1" applyAlignment="1">
      <alignment horizontal="right" vertical="center" indent="1"/>
    </xf>
    <xf numFmtId="4" fontId="18" fillId="0" borderId="5" xfId="0" applyNumberFormat="1" applyFont="1" applyBorder="1" applyAlignment="1">
      <alignment horizontal="right" vertical="center" indent="1"/>
    </xf>
    <xf numFmtId="3" fontId="12" fillId="2" borderId="89" xfId="0" applyNumberFormat="1" applyFont="1" applyFill="1" applyBorder="1" applyAlignment="1">
      <alignment horizontal="right" vertical="center" wrapText="1" indent="1"/>
    </xf>
    <xf numFmtId="0" fontId="2" fillId="2" borderId="10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left" vertical="center" indent="1"/>
    </xf>
    <xf numFmtId="0" fontId="2" fillId="2" borderId="31" xfId="0" applyFont="1" applyFill="1" applyBorder="1" applyAlignment="1">
      <alignment horizontal="left" vertical="center" indent="1"/>
    </xf>
    <xf numFmtId="0" fontId="2" fillId="2" borderId="108" xfId="0" applyFont="1" applyFill="1" applyBorder="1" applyAlignment="1">
      <alignment horizontal="left" vertical="center" indent="1"/>
    </xf>
    <xf numFmtId="0" fontId="3" fillId="2" borderId="107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08" xfId="0" applyFont="1" applyFill="1" applyBorder="1" applyAlignment="1">
      <alignment horizontal="left" vertical="center"/>
    </xf>
    <xf numFmtId="0" fontId="2" fillId="2" borderId="107" xfId="0" applyFont="1" applyFill="1" applyBorder="1" applyAlignment="1">
      <alignment horizontal="justify" vertical="center" wrapText="1"/>
    </xf>
    <xf numFmtId="0" fontId="2" fillId="2" borderId="31" xfId="0" applyFont="1" applyFill="1" applyBorder="1" applyAlignment="1">
      <alignment horizontal="justify" vertical="center" wrapText="1"/>
    </xf>
    <xf numFmtId="0" fontId="2" fillId="2" borderId="108" xfId="0" applyFont="1" applyFill="1" applyBorder="1" applyAlignment="1">
      <alignment horizontal="justify" vertical="center" wrapText="1"/>
    </xf>
    <xf numFmtId="0" fontId="2" fillId="2" borderId="10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10" xfId="0" applyFont="1" applyFill="1" applyBorder="1" applyAlignment="1">
      <alignment horizontal="right" vertical="center"/>
    </xf>
    <xf numFmtId="0" fontId="2" fillId="2" borderId="110" xfId="0" applyFont="1" applyFill="1" applyBorder="1" applyAlignment="1">
      <alignment horizontal="left" vertical="center" wrapText="1"/>
    </xf>
    <xf numFmtId="0" fontId="2" fillId="2" borderId="108" xfId="0" applyFont="1" applyFill="1" applyBorder="1" applyAlignment="1">
      <alignment horizontal="left" vertical="center" wrapText="1"/>
    </xf>
    <xf numFmtId="0" fontId="3" fillId="2" borderId="110" xfId="0" applyFont="1" applyFill="1" applyBorder="1" applyAlignment="1">
      <alignment horizontal="left" vertical="center"/>
    </xf>
    <xf numFmtId="3" fontId="2" fillId="2" borderId="107" xfId="0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108" xfId="0" applyNumberFormat="1" applyFont="1" applyFill="1" applyBorder="1" applyAlignment="1">
      <alignment horizontal="center" vertical="center" wrapText="1"/>
    </xf>
    <xf numFmtId="4" fontId="2" fillId="2" borderId="107" xfId="0" applyNumberFormat="1" applyFont="1" applyFill="1" applyBorder="1" applyAlignment="1">
      <alignment horizontal="right" vertical="center" wrapText="1" indent="1"/>
    </xf>
    <xf numFmtId="4" fontId="2" fillId="2" borderId="31" xfId="0" applyNumberFormat="1" applyFont="1" applyFill="1" applyBorder="1" applyAlignment="1">
      <alignment horizontal="right" vertical="center" wrapText="1" indent="1"/>
    </xf>
    <xf numFmtId="4" fontId="2" fillId="2" borderId="108" xfId="0" applyNumberFormat="1" applyFont="1" applyFill="1" applyBorder="1" applyAlignment="1">
      <alignment horizontal="right" vertical="center" wrapText="1" indent="1"/>
    </xf>
    <xf numFmtId="4" fontId="12" fillId="2" borderId="107" xfId="0" applyNumberFormat="1" applyFont="1" applyFill="1" applyBorder="1" applyAlignment="1">
      <alignment horizontal="right" vertical="center" wrapText="1" indent="1"/>
    </xf>
    <xf numFmtId="4" fontId="12" fillId="2" borderId="31" xfId="0" applyNumberFormat="1" applyFont="1" applyFill="1" applyBorder="1" applyAlignment="1">
      <alignment horizontal="right" vertical="center" wrapText="1" indent="1"/>
    </xf>
    <xf numFmtId="4" fontId="12" fillId="2" borderId="108" xfId="0" applyNumberFormat="1" applyFont="1" applyFill="1" applyBorder="1" applyAlignment="1">
      <alignment horizontal="right" vertical="center" wrapText="1" indent="1"/>
    </xf>
    <xf numFmtId="0" fontId="8" fillId="2" borderId="110" xfId="0" applyFont="1" applyFill="1" applyBorder="1" applyAlignment="1">
      <alignment horizontal="left" vertical="center"/>
    </xf>
    <xf numFmtId="0" fontId="8" fillId="2" borderId="110" xfId="0" applyFont="1" applyFill="1" applyBorder="1" applyAlignment="1">
      <alignment horizontal="left" vertical="center" wrapText="1"/>
    </xf>
    <xf numFmtId="0" fontId="32" fillId="2" borderId="1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7" borderId="1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4" fillId="7" borderId="1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49" fontId="4" fillId="2" borderId="76" xfId="0" applyNumberFormat="1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49" fontId="18" fillId="2" borderId="76" xfId="0" applyNumberFormat="1" applyFont="1" applyFill="1" applyBorder="1" applyAlignment="1">
      <alignment horizontal="left" vertical="center"/>
    </xf>
    <xf numFmtId="0" fontId="4" fillId="2" borderId="76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98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2" fillId="2" borderId="91" xfId="0" applyFont="1" applyFill="1" applyBorder="1" applyAlignment="1">
      <alignment horizontal="center" vertical="center" wrapText="1"/>
    </xf>
    <xf numFmtId="0" fontId="32" fillId="2" borderId="92" xfId="0" applyFont="1" applyFill="1" applyBorder="1" applyAlignment="1">
      <alignment horizontal="center" vertical="center" wrapText="1"/>
    </xf>
    <xf numFmtId="0" fontId="32" fillId="2" borderId="93" xfId="0" applyFont="1" applyFill="1" applyBorder="1" applyAlignment="1">
      <alignment horizontal="center" vertical="center" wrapText="1"/>
    </xf>
    <xf numFmtId="0" fontId="3" fillId="7" borderId="9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7" borderId="90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left" vertical="center" wrapText="1"/>
    </xf>
    <xf numFmtId="0" fontId="2" fillId="0" borderId="86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left" vertical="center" wrapText="1"/>
    </xf>
    <xf numFmtId="3" fontId="18" fillId="0" borderId="24" xfId="0" applyNumberFormat="1" applyFont="1" applyBorder="1" applyAlignment="1">
      <alignment horizontal="left" vertical="center"/>
    </xf>
    <xf numFmtId="4" fontId="8" fillId="27" borderId="122" xfId="0" applyNumberFormat="1" applyFont="1" applyFill="1" applyBorder="1" applyAlignment="1">
      <alignment horizontal="left" vertical="center" wrapText="1"/>
    </xf>
    <xf numFmtId="4" fontId="8" fillId="27" borderId="123" xfId="0" applyNumberFormat="1" applyFont="1" applyFill="1" applyBorder="1" applyAlignment="1">
      <alignment horizontal="left" vertical="center" wrapText="1"/>
    </xf>
    <xf numFmtId="4" fontId="12" fillId="2" borderId="124" xfId="0" applyNumberFormat="1" applyFont="1" applyFill="1" applyBorder="1" applyAlignment="1">
      <alignment horizontal="center" vertical="center" wrapText="1"/>
    </xf>
    <xf numFmtId="4" fontId="12" fillId="2" borderId="31" xfId="0" applyNumberFormat="1" applyFont="1" applyFill="1" applyBorder="1" applyAlignment="1">
      <alignment horizontal="center" vertical="center" wrapText="1"/>
    </xf>
    <xf numFmtId="4" fontId="12" fillId="2" borderId="108" xfId="0" applyNumberFormat="1" applyFont="1" applyFill="1" applyBorder="1" applyAlignment="1">
      <alignment horizontal="center" vertical="center" wrapText="1"/>
    </xf>
    <xf numFmtId="4" fontId="2" fillId="2" borderId="124" xfId="0" applyNumberFormat="1" applyFont="1" applyFill="1" applyBorder="1" applyAlignment="1">
      <alignment horizontal="right" vertical="center" wrapText="1" indent="1"/>
    </xf>
    <xf numFmtId="3" fontId="2" fillId="2" borderId="124" xfId="0" applyNumberFormat="1" applyFont="1" applyFill="1" applyBorder="1" applyAlignment="1">
      <alignment horizontal="right" vertical="center" wrapText="1" indent="1"/>
    </xf>
    <xf numFmtId="3" fontId="2" fillId="2" borderId="31" xfId="0" applyNumberFormat="1" applyFont="1" applyFill="1" applyBorder="1" applyAlignment="1">
      <alignment horizontal="right" vertical="center" wrapText="1" indent="1"/>
    </xf>
    <xf numFmtId="3" fontId="2" fillId="2" borderId="108" xfId="0" applyNumberFormat="1" applyFont="1" applyFill="1" applyBorder="1" applyAlignment="1">
      <alignment horizontal="right" vertical="center" wrapText="1" indent="1"/>
    </xf>
    <xf numFmtId="0" fontId="12" fillId="2" borderId="124" xfId="0" applyFont="1" applyFill="1" applyBorder="1" applyAlignment="1">
      <alignment horizontal="left" vertical="center" indent="1"/>
    </xf>
    <xf numFmtId="0" fontId="12" fillId="2" borderId="31" xfId="0" applyFont="1" applyFill="1" applyBorder="1" applyAlignment="1">
      <alignment horizontal="left" vertical="center" indent="1"/>
    </xf>
    <xf numFmtId="0" fontId="12" fillId="2" borderId="108" xfId="0" applyFont="1" applyFill="1" applyBorder="1" applyAlignment="1">
      <alignment horizontal="left" vertical="center" indent="1"/>
    </xf>
    <xf numFmtId="0" fontId="2" fillId="2" borderId="124" xfId="0" applyFont="1" applyFill="1" applyBorder="1" applyAlignment="1">
      <alignment horizontal="left" vertical="center" wrapText="1"/>
    </xf>
    <xf numFmtId="0" fontId="3" fillId="2" borderId="124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 wrapText="1" indent="1"/>
    </xf>
    <xf numFmtId="0" fontId="2" fillId="2" borderId="38" xfId="0" applyFont="1" applyFill="1" applyBorder="1" applyAlignment="1">
      <alignment horizontal="left" vertical="center" wrapText="1" indent="1"/>
    </xf>
    <xf numFmtId="0" fontId="2" fillId="2" borderId="23" xfId="0" applyFont="1" applyFill="1" applyBorder="1" applyAlignment="1">
      <alignment horizontal="left" vertical="center" wrapText="1" indent="1"/>
    </xf>
    <xf numFmtId="4" fontId="8" fillId="2" borderId="32" xfId="0" applyNumberFormat="1" applyFont="1" applyFill="1" applyBorder="1" applyAlignment="1">
      <alignment horizontal="left" vertical="center" wrapText="1"/>
    </xf>
    <xf numFmtId="4" fontId="12" fillId="2" borderId="38" xfId="0" applyNumberFormat="1" applyFont="1" applyFill="1" applyBorder="1" applyAlignment="1">
      <alignment horizontal="center" vertical="center" wrapText="1"/>
    </xf>
    <xf numFmtId="4" fontId="12" fillId="2" borderId="23" xfId="0" applyNumberFormat="1" applyFont="1" applyFill="1" applyBorder="1" applyAlignment="1">
      <alignment horizontal="center" vertical="center" wrapText="1"/>
    </xf>
    <xf numFmtId="4" fontId="8" fillId="2" borderId="35" xfId="0" applyNumberFormat="1" applyFont="1" applyFill="1" applyBorder="1" applyAlignment="1">
      <alignment horizontal="left" vertical="center" wrapText="1"/>
    </xf>
    <xf numFmtId="4" fontId="8" fillId="2" borderId="37" xfId="0" applyNumberFormat="1" applyFont="1" applyFill="1" applyBorder="1" applyAlignment="1">
      <alignment horizontal="left" vertical="center" wrapText="1"/>
    </xf>
    <xf numFmtId="3" fontId="2" fillId="2" borderId="103" xfId="0" applyNumberFormat="1" applyFont="1" applyFill="1" applyBorder="1" applyAlignment="1">
      <alignment horizontal="right" vertical="center" wrapText="1" indent="1"/>
    </xf>
    <xf numFmtId="3" fontId="2" fillId="2" borderId="88" xfId="0" applyNumberFormat="1" applyFont="1" applyFill="1" applyBorder="1" applyAlignment="1">
      <alignment horizontal="right" vertical="center" wrapText="1" indent="1"/>
    </xf>
    <xf numFmtId="4" fontId="2" fillId="2" borderId="38" xfId="0" applyNumberFormat="1" applyFont="1" applyFill="1" applyBorder="1" applyAlignment="1">
      <alignment horizontal="right" vertical="center" wrapText="1" indent="1"/>
    </xf>
    <xf numFmtId="4" fontId="2" fillId="2" borderId="23" xfId="0" applyNumberFormat="1" applyFont="1" applyFill="1" applyBorder="1" applyAlignment="1">
      <alignment horizontal="right" vertical="center" wrapText="1" indent="1"/>
    </xf>
    <xf numFmtId="0" fontId="4" fillId="2" borderId="32" xfId="5" applyFont="1" applyFill="1" applyBorder="1" applyAlignment="1">
      <alignment horizontal="left" vertical="center"/>
    </xf>
    <xf numFmtId="0" fontId="4" fillId="2" borderId="32" xfId="5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indent="1"/>
    </xf>
    <xf numFmtId="0" fontId="12" fillId="2" borderId="23" xfId="0" applyFont="1" applyFill="1" applyBorder="1" applyAlignment="1">
      <alignment horizontal="left" vertical="center" indent="1"/>
    </xf>
    <xf numFmtId="0" fontId="3" fillId="7" borderId="32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4" fillId="7" borderId="32" xfId="0" applyFont="1" applyFill="1" applyBorder="1" applyAlignment="1">
      <alignment horizontal="center" vertical="center" wrapText="1"/>
    </xf>
    <xf numFmtId="4" fontId="12" fillId="2" borderId="38" xfId="0" applyNumberFormat="1" applyFont="1" applyFill="1" applyBorder="1" applyAlignment="1">
      <alignment horizontal="right" vertical="center" wrapText="1" indent="1"/>
    </xf>
    <xf numFmtId="4" fontId="12" fillId="2" borderId="23" xfId="0" applyNumberFormat="1" applyFont="1" applyFill="1" applyBorder="1" applyAlignment="1">
      <alignment horizontal="right" vertical="center" wrapText="1" indent="1"/>
    </xf>
    <xf numFmtId="0" fontId="4" fillId="2" borderId="38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3" fontId="12" fillId="2" borderId="38" xfId="0" applyNumberFormat="1" applyFont="1" applyFill="1" applyBorder="1" applyAlignment="1">
      <alignment horizontal="center" vertical="center"/>
    </xf>
    <xf numFmtId="3" fontId="12" fillId="2" borderId="31" xfId="0" applyNumberFormat="1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horizontal="right" vertical="center" indent="1"/>
    </xf>
    <xf numFmtId="4" fontId="12" fillId="2" borderId="31" xfId="0" applyNumberFormat="1" applyFont="1" applyFill="1" applyBorder="1" applyAlignment="1">
      <alignment horizontal="right" vertical="center" indent="1"/>
    </xf>
    <xf numFmtId="4" fontId="12" fillId="2" borderId="23" xfId="0" applyNumberFormat="1" applyFont="1" applyFill="1" applyBorder="1" applyAlignment="1">
      <alignment horizontal="right" vertical="center" indent="1"/>
    </xf>
    <xf numFmtId="0" fontId="8" fillId="2" borderId="68" xfId="0" applyFont="1" applyFill="1" applyBorder="1" applyAlignment="1">
      <alignment horizontal="left" vertical="center"/>
    </xf>
    <xf numFmtId="0" fontId="32" fillId="2" borderId="7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4" fillId="7" borderId="6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7" borderId="6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4" fontId="12" fillId="2" borderId="44" xfId="0" applyNumberFormat="1" applyFont="1" applyFill="1" applyBorder="1" applyAlignment="1">
      <alignment horizontal="right" vertical="center" wrapText="1" indent="1"/>
    </xf>
    <xf numFmtId="0" fontId="8" fillId="27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 wrapText="1"/>
    </xf>
    <xf numFmtId="0" fontId="12" fillId="2" borderId="44" xfId="0" applyFont="1" applyFill="1" applyBorder="1" applyAlignment="1">
      <alignment horizontal="left" vertical="center" indent="1"/>
    </xf>
    <xf numFmtId="3" fontId="2" fillId="2" borderId="44" xfId="0" applyNumberFormat="1" applyFont="1" applyFill="1" applyBorder="1" applyAlignment="1">
      <alignment horizontal="right" vertical="center" wrapText="1" indent="1"/>
    </xf>
    <xf numFmtId="4" fontId="2" fillId="2" borderId="44" xfId="0" applyNumberFormat="1" applyFont="1" applyFill="1" applyBorder="1" applyAlignment="1">
      <alignment horizontal="right" vertical="center" wrapText="1" indent="1"/>
    </xf>
    <xf numFmtId="0" fontId="3" fillId="7" borderId="44" xfId="0" applyFont="1" applyFill="1" applyBorder="1" applyAlignment="1">
      <alignment horizontal="center" vertical="center" wrapText="1"/>
    </xf>
    <xf numFmtId="0" fontId="32" fillId="2" borderId="47" xfId="0" applyFont="1" applyFill="1" applyBorder="1" applyAlignment="1">
      <alignment horizontal="center" vertical="center" wrapText="1"/>
    </xf>
    <xf numFmtId="0" fontId="32" fillId="2" borderId="48" xfId="0" applyFont="1" applyFill="1" applyBorder="1" applyAlignment="1">
      <alignment horizontal="center" vertical="center" wrapText="1"/>
    </xf>
    <xf numFmtId="0" fontId="32" fillId="2" borderId="4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4" fillId="7" borderId="44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8" fillId="0" borderId="44" xfId="0" applyFont="1" applyBorder="1" applyAlignment="1">
      <alignment horizontal="left" vertical="center"/>
    </xf>
    <xf numFmtId="0" fontId="32" fillId="2" borderId="71" xfId="0" applyFont="1" applyFill="1" applyBorder="1" applyAlignment="1">
      <alignment horizontal="center" vertical="center" wrapText="1"/>
    </xf>
    <xf numFmtId="0" fontId="32" fillId="2" borderId="68" xfId="0" applyFont="1" applyFill="1" applyBorder="1" applyAlignment="1">
      <alignment horizontal="center" vertical="center" wrapText="1"/>
    </xf>
    <xf numFmtId="3" fontId="2" fillId="0" borderId="68" xfId="13" applyNumberFormat="1" applyFont="1" applyFill="1" applyBorder="1" applyAlignment="1">
      <alignment horizontal="right" vertical="center" wrapText="1" indent="1"/>
    </xf>
    <xf numFmtId="4" fontId="2" fillId="0" borderId="68" xfId="13" applyNumberFormat="1" applyFont="1" applyFill="1" applyBorder="1" applyAlignment="1">
      <alignment horizontal="right" vertical="center" wrapText="1" indent="1"/>
    </xf>
    <xf numFmtId="4" fontId="2" fillId="0" borderId="68" xfId="15" applyNumberFormat="1" applyFont="1" applyFill="1" applyBorder="1" applyAlignment="1">
      <alignment horizontal="right" vertical="center" wrapText="1" indent="1"/>
    </xf>
    <xf numFmtId="3" fontId="2" fillId="0" borderId="68" xfId="0" applyNumberFormat="1" applyFont="1" applyFill="1" applyBorder="1" applyAlignment="1">
      <alignment horizontal="right" vertical="center" indent="1"/>
    </xf>
    <xf numFmtId="4" fontId="2" fillId="0" borderId="68" xfId="0" applyNumberFormat="1" applyFont="1" applyFill="1" applyBorder="1" applyAlignment="1">
      <alignment horizontal="right" vertical="center" indent="1"/>
    </xf>
    <xf numFmtId="4" fontId="2" fillId="0" borderId="68" xfId="11" applyNumberFormat="1" applyFont="1" applyBorder="1" applyAlignment="1">
      <alignment horizontal="right" vertical="center" wrapText="1" indent="1"/>
    </xf>
    <xf numFmtId="3" fontId="2" fillId="0" borderId="68" xfId="13" applyNumberFormat="1" applyFont="1" applyBorder="1" applyAlignment="1">
      <alignment horizontal="right" vertical="center" wrapText="1" indent="1"/>
    </xf>
    <xf numFmtId="4" fontId="2" fillId="0" borderId="68" xfId="13" applyNumberFormat="1" applyFont="1" applyBorder="1" applyAlignment="1">
      <alignment horizontal="right" vertical="center" wrapText="1" indent="1"/>
    </xf>
    <xf numFmtId="4" fontId="28" fillId="2" borderId="78" xfId="10" applyNumberFormat="1" applyFont="1" applyFill="1" applyBorder="1" applyAlignment="1">
      <alignment horizontal="right" vertical="center" wrapText="1" indent="1"/>
    </xf>
    <xf numFmtId="2" fontId="28" fillId="2" borderId="79" xfId="0" applyNumberFormat="1" applyFont="1" applyFill="1" applyBorder="1" applyAlignment="1">
      <alignment horizontal="right" vertical="center" indent="1"/>
    </xf>
    <xf numFmtId="165" fontId="41" fillId="2" borderId="80" xfId="10" applyNumberFormat="1" applyFont="1" applyFill="1" applyBorder="1" applyAlignment="1">
      <alignment horizontal="right" vertical="center"/>
    </xf>
    <xf numFmtId="4" fontId="47" fillId="5" borderId="74" xfId="8" applyNumberFormat="1" applyFont="1" applyFill="1" applyBorder="1" applyAlignment="1">
      <alignment horizontal="justify" vertical="center" wrapText="1"/>
    </xf>
    <xf numFmtId="4" fontId="47" fillId="5" borderId="75" xfId="8" applyNumberFormat="1" applyFont="1" applyFill="1" applyBorder="1" applyAlignment="1">
      <alignment horizontal="justify" vertical="center" wrapText="1"/>
    </xf>
    <xf numFmtId="165" fontId="41" fillId="2" borderId="80" xfId="10" applyNumberFormat="1" applyFont="1" applyFill="1" applyBorder="1" applyAlignment="1">
      <alignment horizontal="right" vertical="center" wrapText="1"/>
    </xf>
    <xf numFmtId="3" fontId="28" fillId="4" borderId="101" xfId="10" applyNumberFormat="1" applyFont="1" applyFill="1" applyBorder="1" applyAlignment="1">
      <alignment horizontal="right" vertical="center" wrapText="1" indent="1"/>
    </xf>
    <xf numFmtId="3" fontId="28" fillId="4" borderId="102" xfId="10" applyNumberFormat="1" applyFont="1" applyFill="1" applyBorder="1" applyAlignment="1">
      <alignment horizontal="right" vertical="center" wrapText="1" indent="1"/>
    </xf>
    <xf numFmtId="165" fontId="41" fillId="2" borderId="83" xfId="10" applyNumberFormat="1" applyFont="1" applyFill="1" applyBorder="1" applyAlignment="1">
      <alignment horizontal="right" vertical="center" wrapText="1"/>
    </xf>
    <xf numFmtId="165" fontId="41" fillId="2" borderId="84" xfId="10" applyNumberFormat="1" applyFont="1" applyFill="1" applyBorder="1" applyAlignment="1">
      <alignment horizontal="right" vertical="center" wrapText="1"/>
    </xf>
    <xf numFmtId="0" fontId="28" fillId="2" borderId="78" xfId="10" applyFont="1" applyFill="1" applyBorder="1" applyAlignment="1">
      <alignment horizontal="justify" vertical="center" wrapText="1"/>
    </xf>
    <xf numFmtId="0" fontId="28" fillId="2" borderId="78" xfId="10" applyFont="1" applyFill="1" applyBorder="1" applyAlignment="1">
      <alignment horizontal="left" vertical="center" wrapText="1" indent="1"/>
    </xf>
    <xf numFmtId="3" fontId="28" fillId="4" borderId="82" xfId="10" applyNumberFormat="1" applyFont="1" applyFill="1" applyBorder="1" applyAlignment="1">
      <alignment horizontal="right" vertical="center" wrapText="1" indent="1"/>
    </xf>
    <xf numFmtId="3" fontId="28" fillId="4" borderId="81" xfId="10" applyNumberFormat="1" applyFont="1" applyFill="1" applyBorder="1" applyAlignment="1">
      <alignment horizontal="right" vertical="center" wrapText="1" indent="1"/>
    </xf>
    <xf numFmtId="0" fontId="32" fillId="2" borderId="55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2" fillId="0" borderId="89" xfId="0" applyFont="1" applyFill="1" applyBorder="1" applyAlignment="1">
      <alignment horizontal="left" vertical="center" wrapText="1" indent="1"/>
    </xf>
    <xf numFmtId="0" fontId="12" fillId="0" borderId="31" xfId="0" applyFont="1" applyFill="1" applyBorder="1" applyAlignment="1">
      <alignment horizontal="left" vertical="center" wrapText="1" indent="1"/>
    </xf>
    <xf numFmtId="0" fontId="12" fillId="0" borderId="88" xfId="0" applyFont="1" applyFill="1" applyBorder="1" applyAlignment="1">
      <alignment horizontal="left" vertical="center" wrapText="1" indent="1"/>
    </xf>
    <xf numFmtId="4" fontId="8" fillId="2" borderId="76" xfId="0" applyNumberFormat="1" applyFont="1" applyFill="1" applyBorder="1" applyAlignment="1">
      <alignment horizontal="left" vertical="center" wrapText="1"/>
    </xf>
    <xf numFmtId="0" fontId="4" fillId="2" borderId="76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 indent="1"/>
    </xf>
    <xf numFmtId="0" fontId="3" fillId="0" borderId="76" xfId="0" applyFont="1" applyFill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 indent="1"/>
    </xf>
    <xf numFmtId="0" fontId="12" fillId="0" borderId="76" xfId="0" applyFont="1" applyFill="1" applyBorder="1" applyAlignment="1">
      <alignment horizontal="left" vertical="center" indent="1"/>
    </xf>
    <xf numFmtId="0" fontId="4" fillId="7" borderId="76" xfId="0" applyFont="1" applyFill="1" applyBorder="1" applyAlignment="1">
      <alignment horizontal="center" vertical="center" wrapText="1"/>
    </xf>
    <xf numFmtId="0" fontId="3" fillId="7" borderId="76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32" fillId="2" borderId="76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32" fillId="2" borderId="5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4" fillId="7" borderId="57" xfId="0" applyFont="1" applyFill="1" applyBorder="1" applyAlignment="1">
      <alignment horizontal="center" vertical="center" wrapText="1"/>
    </xf>
    <xf numFmtId="0" fontId="12" fillId="2" borderId="94" xfId="0" applyFont="1" applyFill="1" applyBorder="1" applyAlignment="1">
      <alignment horizontal="left" vertical="center" indent="1"/>
    </xf>
    <xf numFmtId="0" fontId="12" fillId="2" borderId="88" xfId="0" applyFont="1" applyFill="1" applyBorder="1" applyAlignment="1">
      <alignment horizontal="left" vertical="center" indent="1"/>
    </xf>
    <xf numFmtId="0" fontId="32" fillId="2" borderId="90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left" vertical="center" wrapText="1"/>
    </xf>
    <xf numFmtId="0" fontId="2" fillId="0" borderId="95" xfId="0" applyFont="1" applyFill="1" applyBorder="1" applyAlignment="1">
      <alignment horizontal="left" vertical="center"/>
    </xf>
    <xf numFmtId="0" fontId="2" fillId="0" borderId="96" xfId="0" applyFont="1" applyFill="1" applyBorder="1" applyAlignment="1">
      <alignment horizontal="left" vertical="center"/>
    </xf>
    <xf numFmtId="0" fontId="15" fillId="2" borderId="104" xfId="0" applyFont="1" applyFill="1" applyBorder="1" applyAlignment="1">
      <alignment horizontal="left" vertical="center" wrapText="1"/>
    </xf>
    <xf numFmtId="0" fontId="3" fillId="7" borderId="115" xfId="0" applyFont="1" applyFill="1" applyBorder="1" applyAlignment="1">
      <alignment horizontal="center" vertical="center" wrapText="1"/>
    </xf>
    <xf numFmtId="0" fontId="3" fillId="7" borderId="113" xfId="0" applyFont="1" applyFill="1" applyBorder="1" applyAlignment="1">
      <alignment horizontal="center" vertical="center" wrapText="1"/>
    </xf>
    <xf numFmtId="0" fontId="3" fillId="7" borderId="114" xfId="0" applyFont="1" applyFill="1" applyBorder="1" applyAlignment="1">
      <alignment horizontal="center" vertical="center" wrapText="1"/>
    </xf>
    <xf numFmtId="0" fontId="32" fillId="2" borderId="113" xfId="0" applyFont="1" applyFill="1" applyBorder="1" applyAlignment="1">
      <alignment horizontal="center" vertical="center" wrapText="1"/>
    </xf>
    <xf numFmtId="0" fontId="32" fillId="2" borderId="114" xfId="0" applyFont="1" applyFill="1" applyBorder="1" applyAlignment="1">
      <alignment horizontal="center" vertical="center" wrapText="1"/>
    </xf>
    <xf numFmtId="0" fontId="4" fillId="7" borderId="116" xfId="0" applyFont="1" applyFill="1" applyBorder="1" applyAlignment="1">
      <alignment horizontal="center" vertical="center" wrapText="1"/>
    </xf>
    <xf numFmtId="0" fontId="4" fillId="7" borderId="108" xfId="0" applyFont="1" applyFill="1" applyBorder="1" applyAlignment="1">
      <alignment horizontal="center" vertical="center" wrapText="1"/>
    </xf>
    <xf numFmtId="164" fontId="53" fillId="18" borderId="107" xfId="12" applyNumberFormat="1" applyFont="1" applyFill="1" applyBorder="1" applyAlignment="1">
      <alignment vertical="center" wrapText="1"/>
    </xf>
    <xf numFmtId="164" fontId="53" fillId="18" borderId="31" xfId="12" applyNumberFormat="1" applyFont="1" applyFill="1" applyBorder="1" applyAlignment="1">
      <alignment vertical="center" wrapText="1"/>
    </xf>
    <xf numFmtId="164" fontId="53" fillId="18" borderId="108" xfId="12" applyNumberFormat="1" applyFont="1" applyFill="1" applyBorder="1" applyAlignment="1">
      <alignment vertical="center" wrapText="1"/>
    </xf>
    <xf numFmtId="164" fontId="53" fillId="18" borderId="107" xfId="12" applyNumberFormat="1" applyFont="1" applyFill="1" applyBorder="1" applyAlignment="1">
      <alignment horizontal="left" vertical="center" wrapText="1"/>
    </xf>
    <xf numFmtId="164" fontId="53" fillId="18" borderId="31" xfId="12" applyNumberFormat="1" applyFont="1" applyFill="1" applyBorder="1" applyAlignment="1">
      <alignment horizontal="left" vertical="center" wrapText="1"/>
    </xf>
    <xf numFmtId="164" fontId="53" fillId="18" borderId="108" xfId="12" applyNumberFormat="1" applyFont="1" applyFill="1" applyBorder="1" applyAlignment="1">
      <alignment horizontal="left" vertical="center" wrapText="1"/>
    </xf>
    <xf numFmtId="0" fontId="53" fillId="2" borderId="31" xfId="12" applyFont="1" applyFill="1" applyBorder="1" applyAlignment="1">
      <alignment horizontal="left" vertical="center" wrapText="1"/>
    </xf>
    <xf numFmtId="0" fontId="53" fillId="0" borderId="107" xfId="1" applyFont="1" applyFill="1" applyBorder="1" applyAlignment="1">
      <alignment horizontal="left" vertical="center" wrapText="1"/>
    </xf>
    <xf numFmtId="0" fontId="53" fillId="0" borderId="31" xfId="1" applyFont="1" applyFill="1" applyBorder="1" applyAlignment="1">
      <alignment horizontal="left" vertical="center" wrapText="1"/>
    </xf>
    <xf numFmtId="0" fontId="53" fillId="0" borderId="108" xfId="1" applyFont="1" applyFill="1" applyBorder="1" applyAlignment="1">
      <alignment horizontal="left" vertical="center" wrapText="1"/>
    </xf>
    <xf numFmtId="0" fontId="53" fillId="2" borderId="107" xfId="12" applyFont="1" applyFill="1" applyBorder="1" applyAlignment="1">
      <alignment horizontal="left" vertical="center" wrapText="1"/>
    </xf>
    <xf numFmtId="0" fontId="53" fillId="2" borderId="108" xfId="12" applyFont="1" applyFill="1" applyBorder="1" applyAlignment="1">
      <alignment horizontal="left" vertical="center" wrapText="1"/>
    </xf>
    <xf numFmtId="0" fontId="66" fillId="0" borderId="98" xfId="0" applyFont="1" applyBorder="1" applyAlignment="1">
      <alignment horizontal="center"/>
    </xf>
    <xf numFmtId="0" fontId="66" fillId="0" borderId="99" xfId="0" applyFont="1" applyBorder="1" applyAlignment="1">
      <alignment horizontal="center"/>
    </xf>
    <xf numFmtId="0" fontId="66" fillId="0" borderId="100" xfId="0" applyFont="1" applyBorder="1" applyAlignment="1">
      <alignment horizontal="center"/>
    </xf>
    <xf numFmtId="3" fontId="53" fillId="18" borderId="107" xfId="12" applyNumberFormat="1" applyFont="1" applyFill="1" applyBorder="1" applyAlignment="1">
      <alignment horizontal="left" vertical="center" wrapText="1"/>
    </xf>
    <xf numFmtId="3" fontId="53" fillId="18" borderId="108" xfId="12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53" fillId="2" borderId="107" xfId="1" applyFont="1" applyFill="1" applyBorder="1" applyAlignment="1">
      <alignment vertical="center" wrapText="1"/>
    </xf>
    <xf numFmtId="0" fontId="53" fillId="2" borderId="31" xfId="1" applyFont="1" applyFill="1" applyBorder="1" applyAlignment="1">
      <alignment vertical="center" wrapText="1"/>
    </xf>
    <xf numFmtId="0" fontId="53" fillId="2" borderId="107" xfId="1" applyFont="1" applyFill="1" applyBorder="1" applyAlignment="1">
      <alignment horizontal="left" vertical="center" wrapText="1"/>
    </xf>
    <xf numFmtId="0" fontId="53" fillId="2" borderId="31" xfId="1" applyFont="1" applyFill="1" applyBorder="1" applyAlignment="1">
      <alignment horizontal="left" vertical="center" wrapText="1"/>
    </xf>
    <xf numFmtId="0" fontId="53" fillId="2" borderId="108" xfId="1" applyFont="1" applyFill="1" applyBorder="1" applyAlignment="1">
      <alignment horizontal="left" vertical="center" wrapText="1"/>
    </xf>
    <xf numFmtId="0" fontId="57" fillId="6" borderId="111" xfId="1" applyFont="1" applyFill="1" applyBorder="1" applyAlignment="1">
      <alignment vertical="center" wrapText="1"/>
    </xf>
    <xf numFmtId="0" fontId="57" fillId="6" borderId="112" xfId="1" applyFont="1" applyFill="1" applyBorder="1" applyAlignment="1">
      <alignment vertical="center" wrapText="1"/>
    </xf>
    <xf numFmtId="0" fontId="57" fillId="6" borderId="63" xfId="1" applyFont="1" applyFill="1" applyBorder="1" applyAlignment="1">
      <alignment horizontal="center" vertical="center" wrapText="1"/>
    </xf>
    <xf numFmtId="0" fontId="57" fillId="6" borderId="117" xfId="1" applyFont="1" applyFill="1" applyBorder="1" applyAlignment="1">
      <alignment horizontal="center" vertical="center" wrapText="1"/>
    </xf>
    <xf numFmtId="0" fontId="57" fillId="6" borderId="64" xfId="1" applyFont="1" applyFill="1" applyBorder="1" applyAlignment="1">
      <alignment horizontal="center" vertical="center" wrapText="1"/>
    </xf>
    <xf numFmtId="0" fontId="57" fillId="24" borderId="111" xfId="1" applyFont="1" applyFill="1" applyBorder="1" applyAlignment="1">
      <alignment horizontal="left" vertical="center" wrapText="1"/>
    </xf>
    <xf numFmtId="0" fontId="57" fillId="24" borderId="112" xfId="1" applyFont="1" applyFill="1" applyBorder="1" applyAlignment="1">
      <alignment horizontal="left" vertical="center" wrapText="1"/>
    </xf>
    <xf numFmtId="170" fontId="57" fillId="24" borderId="111" xfId="1" applyNumberFormat="1" applyFont="1" applyFill="1" applyBorder="1" applyAlignment="1">
      <alignment horizontal="left" vertical="center" wrapText="1"/>
    </xf>
    <xf numFmtId="170" fontId="57" fillId="24" borderId="112" xfId="1" applyNumberFormat="1" applyFont="1" applyFill="1" applyBorder="1" applyAlignment="1">
      <alignment horizontal="left" vertical="center" wrapText="1"/>
    </xf>
    <xf numFmtId="0" fontId="57" fillId="6" borderId="111" xfId="1" applyFont="1" applyFill="1" applyBorder="1" applyAlignment="1">
      <alignment horizontal="left" vertical="center" wrapText="1"/>
    </xf>
    <xf numFmtId="0" fontId="57" fillId="6" borderId="112" xfId="1" applyFont="1" applyFill="1" applyBorder="1" applyAlignment="1">
      <alignment horizontal="left" vertical="center" wrapText="1"/>
    </xf>
    <xf numFmtId="0" fontId="57" fillId="6" borderId="111" xfId="12" applyFont="1" applyFill="1" applyBorder="1" applyAlignment="1">
      <alignment horizontal="left" vertical="center" wrapText="1"/>
    </xf>
    <xf numFmtId="0" fontId="57" fillId="6" borderId="112" xfId="12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57" fillId="6" borderId="110" xfId="1" applyFont="1" applyFill="1" applyBorder="1" applyAlignment="1">
      <alignment horizontal="left" vertical="center" wrapText="1"/>
    </xf>
    <xf numFmtId="0" fontId="58" fillId="0" borderId="0" xfId="1" applyFont="1" applyFill="1" applyAlignment="1">
      <alignment horizontal="center" vertical="center" wrapText="1"/>
    </xf>
    <xf numFmtId="0" fontId="58" fillId="0" borderId="0" xfId="1" applyFont="1" applyFill="1" applyAlignment="1">
      <alignment horizontal="center" vertical="center"/>
    </xf>
    <xf numFmtId="0" fontId="57" fillId="24" borderId="110" xfId="1" applyFont="1" applyFill="1" applyBorder="1" applyAlignment="1">
      <alignment horizontal="left" vertical="center" wrapText="1"/>
    </xf>
    <xf numFmtId="0" fontId="55" fillId="6" borderId="110" xfId="12" applyFont="1" applyFill="1" applyBorder="1" applyAlignment="1">
      <alignment horizontal="left" vertical="center"/>
    </xf>
    <xf numFmtId="0" fontId="55" fillId="6" borderId="110" xfId="1" applyFont="1" applyFill="1" applyBorder="1" applyAlignment="1">
      <alignment horizontal="left" vertical="center" wrapText="1"/>
    </xf>
    <xf numFmtId="0" fontId="55" fillId="6" borderId="110" xfId="1" applyFont="1" applyFill="1" applyBorder="1" applyAlignment="1">
      <alignment vertical="center" wrapText="1"/>
    </xf>
  </cellXfs>
  <cellStyles count="16">
    <cellStyle name="Estilo 1" xfId="3"/>
    <cellStyle name="Excel Built-in Normal" xfId="8"/>
    <cellStyle name="Millares" xfId="9" builtinId="3"/>
    <cellStyle name="Millares [0] 2" xfId="4"/>
    <cellStyle name="Millares 2" xfId="14"/>
    <cellStyle name="Moneda" xfId="13" builtinId="4"/>
    <cellStyle name="Normal" xfId="0" builtinId="0"/>
    <cellStyle name="Normal 2" xfId="1"/>
    <cellStyle name="Normal 3" xfId="5"/>
    <cellStyle name="Normal 4" xfId="2"/>
    <cellStyle name="Normal 5" xfId="7"/>
    <cellStyle name="Normal 6" xfId="12"/>
    <cellStyle name="Notas" xfId="15" builtinId="10"/>
    <cellStyle name="Porcentaje" xfId="11" builtinId="5"/>
    <cellStyle name="Porcentual 2" xfId="6"/>
    <cellStyle name="TableStyleLight1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2480453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2480453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6014228" y="7493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6014228" y="7493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264237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2642378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6014228" y="7057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6014228" y="7057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6014228" y="713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6014228" y="7131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6014228" y="7460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19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6014228" y="7460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41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3575828" y="1671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53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3575828" y="2676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42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3575828" y="1744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93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5576078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93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5576078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94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5576078" y="2885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94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5576078" y="2885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93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5576078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93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5576078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94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5576078" y="2885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94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5576078" y="2885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94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5576078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94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5576078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94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5576078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94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5576078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123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5576078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123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5576078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125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5576078" y="2885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125</xdr:row>
      <xdr:rowOff>0</xdr:rowOff>
    </xdr:from>
    <xdr:ext cx="184731" cy="264560"/>
    <xdr:sp macro="" textlink="">
      <xdr:nvSpPr>
        <xdr:cNvPr id="91" name="90 CuadroTexto"/>
        <xdr:cNvSpPr txBox="1"/>
      </xdr:nvSpPr>
      <xdr:spPr>
        <a:xfrm>
          <a:off x="5576078" y="2885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136</xdr:row>
      <xdr:rowOff>0</xdr:rowOff>
    </xdr:from>
    <xdr:ext cx="184731" cy="264560"/>
    <xdr:sp macro="" textlink="">
      <xdr:nvSpPr>
        <xdr:cNvPr id="92" name="91 CuadroTexto"/>
        <xdr:cNvSpPr txBox="1"/>
      </xdr:nvSpPr>
      <xdr:spPr>
        <a:xfrm>
          <a:off x="5576078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136</xdr:row>
      <xdr:rowOff>0</xdr:rowOff>
    </xdr:from>
    <xdr:ext cx="184731" cy="264560"/>
    <xdr:sp macro="" textlink="">
      <xdr:nvSpPr>
        <xdr:cNvPr id="93" name="92 CuadroTexto"/>
        <xdr:cNvSpPr txBox="1"/>
      </xdr:nvSpPr>
      <xdr:spPr>
        <a:xfrm>
          <a:off x="5576078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123</xdr:row>
      <xdr:rowOff>0</xdr:rowOff>
    </xdr:from>
    <xdr:ext cx="184731" cy="264560"/>
    <xdr:sp macro="" textlink="">
      <xdr:nvSpPr>
        <xdr:cNvPr id="94" name="93 CuadroTexto"/>
        <xdr:cNvSpPr txBox="1"/>
      </xdr:nvSpPr>
      <xdr:spPr>
        <a:xfrm>
          <a:off x="5576078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123</xdr:row>
      <xdr:rowOff>0</xdr:rowOff>
    </xdr:from>
    <xdr:ext cx="184731" cy="264560"/>
    <xdr:sp macro="" textlink="">
      <xdr:nvSpPr>
        <xdr:cNvPr id="95" name="94 CuadroTexto"/>
        <xdr:cNvSpPr txBox="1"/>
      </xdr:nvSpPr>
      <xdr:spPr>
        <a:xfrm>
          <a:off x="5576078" y="2805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125</xdr:row>
      <xdr:rowOff>0</xdr:rowOff>
    </xdr:from>
    <xdr:ext cx="184731" cy="264560"/>
    <xdr:sp macro="" textlink="">
      <xdr:nvSpPr>
        <xdr:cNvPr id="96" name="95 CuadroTexto"/>
        <xdr:cNvSpPr txBox="1"/>
      </xdr:nvSpPr>
      <xdr:spPr>
        <a:xfrm>
          <a:off x="5576078" y="2885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125</xdr:row>
      <xdr:rowOff>0</xdr:rowOff>
    </xdr:from>
    <xdr:ext cx="184731" cy="264560"/>
    <xdr:sp macro="" textlink="">
      <xdr:nvSpPr>
        <xdr:cNvPr id="97" name="96 CuadroTexto"/>
        <xdr:cNvSpPr txBox="1"/>
      </xdr:nvSpPr>
      <xdr:spPr>
        <a:xfrm>
          <a:off x="5576078" y="2885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136</xdr:row>
      <xdr:rowOff>0</xdr:rowOff>
    </xdr:from>
    <xdr:ext cx="184731" cy="264560"/>
    <xdr:sp macro="" textlink="">
      <xdr:nvSpPr>
        <xdr:cNvPr id="98" name="97 CuadroTexto"/>
        <xdr:cNvSpPr txBox="1"/>
      </xdr:nvSpPr>
      <xdr:spPr>
        <a:xfrm>
          <a:off x="5576078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136</xdr:row>
      <xdr:rowOff>0</xdr:rowOff>
    </xdr:from>
    <xdr:ext cx="184731" cy="264560"/>
    <xdr:sp macro="" textlink="">
      <xdr:nvSpPr>
        <xdr:cNvPr id="99" name="98 CuadroTexto"/>
        <xdr:cNvSpPr txBox="1"/>
      </xdr:nvSpPr>
      <xdr:spPr>
        <a:xfrm>
          <a:off x="5576078" y="3525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3575828" y="276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11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5957078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1" name="2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2" name="3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3" name="4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4" name="5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5" name="6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6" name="7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7" name="8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8" name="9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59" name="10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60" name="11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  <xdr:oneCellAnchor>
    <xdr:from>
      <xdr:col>2</xdr:col>
      <xdr:colOff>1127903</xdr:colOff>
      <xdr:row>52</xdr:row>
      <xdr:rowOff>0</xdr:rowOff>
    </xdr:from>
    <xdr:ext cx="184731" cy="264560"/>
    <xdr:sp macro="" textlink="">
      <xdr:nvSpPr>
        <xdr:cNvPr id="61" name="12 CuadroTexto"/>
        <xdr:cNvSpPr txBox="1"/>
      </xdr:nvSpPr>
      <xdr:spPr>
        <a:xfrm>
          <a:off x="3337703" y="892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E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43</xdr:row>
      <xdr:rowOff>0</xdr:rowOff>
    </xdr:from>
    <xdr:to>
      <xdr:col>2</xdr:col>
      <xdr:colOff>628650</xdr:colOff>
      <xdr:row>43</xdr:row>
      <xdr:rowOff>123825</xdr:rowOff>
    </xdr:to>
    <xdr:sp macro="" textlink="">
      <xdr:nvSpPr>
        <xdr:cNvPr id="58" name="19 CuadroTexto"/>
        <xdr:cNvSpPr txBox="1">
          <a:spLocks noChangeArrowheads="1"/>
        </xdr:cNvSpPr>
      </xdr:nvSpPr>
      <xdr:spPr bwMode="auto">
        <a:xfrm>
          <a:off x="5038725" y="45053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44</xdr:row>
      <xdr:rowOff>0</xdr:rowOff>
    </xdr:from>
    <xdr:to>
      <xdr:col>2</xdr:col>
      <xdr:colOff>628650</xdr:colOff>
      <xdr:row>44</xdr:row>
      <xdr:rowOff>123825</xdr:rowOff>
    </xdr:to>
    <xdr:sp macro="" textlink="">
      <xdr:nvSpPr>
        <xdr:cNvPr id="59" name="21 CuadroTexto"/>
        <xdr:cNvSpPr txBox="1">
          <a:spLocks noChangeArrowheads="1"/>
        </xdr:cNvSpPr>
      </xdr:nvSpPr>
      <xdr:spPr bwMode="auto">
        <a:xfrm>
          <a:off x="5038725" y="48482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41</xdr:row>
      <xdr:rowOff>0</xdr:rowOff>
    </xdr:from>
    <xdr:to>
      <xdr:col>2</xdr:col>
      <xdr:colOff>628650</xdr:colOff>
      <xdr:row>42</xdr:row>
      <xdr:rowOff>47625</xdr:rowOff>
    </xdr:to>
    <xdr:sp macro="" textlink="">
      <xdr:nvSpPr>
        <xdr:cNvPr id="60" name="23 CuadroTexto"/>
        <xdr:cNvSpPr txBox="1">
          <a:spLocks noChangeArrowheads="1"/>
        </xdr:cNvSpPr>
      </xdr:nvSpPr>
      <xdr:spPr bwMode="auto">
        <a:xfrm>
          <a:off x="5038725" y="3819525"/>
          <a:ext cx="762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39</xdr:row>
      <xdr:rowOff>0</xdr:rowOff>
    </xdr:from>
    <xdr:to>
      <xdr:col>2</xdr:col>
      <xdr:colOff>628650</xdr:colOff>
      <xdr:row>40</xdr:row>
      <xdr:rowOff>38100</xdr:rowOff>
    </xdr:to>
    <xdr:sp macro="" textlink="">
      <xdr:nvSpPr>
        <xdr:cNvPr id="61" name="25 CuadroTexto"/>
        <xdr:cNvSpPr txBox="1">
          <a:spLocks noChangeArrowheads="1"/>
        </xdr:cNvSpPr>
      </xdr:nvSpPr>
      <xdr:spPr bwMode="auto">
        <a:xfrm>
          <a:off x="5038725" y="3133725"/>
          <a:ext cx="76200" cy="3810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36</xdr:row>
      <xdr:rowOff>0</xdr:rowOff>
    </xdr:from>
    <xdr:to>
      <xdr:col>2</xdr:col>
      <xdr:colOff>628650</xdr:colOff>
      <xdr:row>37</xdr:row>
      <xdr:rowOff>47625</xdr:rowOff>
    </xdr:to>
    <xdr:sp macro="" textlink="">
      <xdr:nvSpPr>
        <xdr:cNvPr id="62" name="27 CuadroTexto"/>
        <xdr:cNvSpPr txBox="1">
          <a:spLocks noChangeArrowheads="1"/>
        </xdr:cNvSpPr>
      </xdr:nvSpPr>
      <xdr:spPr bwMode="auto">
        <a:xfrm>
          <a:off x="5038725" y="2105025"/>
          <a:ext cx="762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85725</xdr:colOff>
      <xdr:row>43</xdr:row>
      <xdr:rowOff>123825</xdr:rowOff>
    </xdr:to>
    <xdr:sp macro="" textlink="">
      <xdr:nvSpPr>
        <xdr:cNvPr id="63" name="18 CuadroTexto"/>
        <xdr:cNvSpPr txBox="1">
          <a:spLocks noChangeArrowheads="1"/>
        </xdr:cNvSpPr>
      </xdr:nvSpPr>
      <xdr:spPr bwMode="auto">
        <a:xfrm>
          <a:off x="6362700" y="45053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44</xdr:row>
      <xdr:rowOff>0</xdr:rowOff>
    </xdr:from>
    <xdr:to>
      <xdr:col>4</xdr:col>
      <xdr:colOff>85725</xdr:colOff>
      <xdr:row>44</xdr:row>
      <xdr:rowOff>123825</xdr:rowOff>
    </xdr:to>
    <xdr:sp macro="" textlink="">
      <xdr:nvSpPr>
        <xdr:cNvPr id="64" name="20 CuadroTexto"/>
        <xdr:cNvSpPr txBox="1">
          <a:spLocks noChangeArrowheads="1"/>
        </xdr:cNvSpPr>
      </xdr:nvSpPr>
      <xdr:spPr bwMode="auto">
        <a:xfrm>
          <a:off x="6362700" y="48482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41</xdr:row>
      <xdr:rowOff>0</xdr:rowOff>
    </xdr:from>
    <xdr:to>
      <xdr:col>4</xdr:col>
      <xdr:colOff>85725</xdr:colOff>
      <xdr:row>42</xdr:row>
      <xdr:rowOff>47625</xdr:rowOff>
    </xdr:to>
    <xdr:sp macro="" textlink="">
      <xdr:nvSpPr>
        <xdr:cNvPr id="65" name="22 CuadroTexto"/>
        <xdr:cNvSpPr txBox="1">
          <a:spLocks noChangeArrowheads="1"/>
        </xdr:cNvSpPr>
      </xdr:nvSpPr>
      <xdr:spPr bwMode="auto">
        <a:xfrm>
          <a:off x="6362700" y="3819525"/>
          <a:ext cx="762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39</xdr:row>
      <xdr:rowOff>0</xdr:rowOff>
    </xdr:from>
    <xdr:to>
      <xdr:col>4</xdr:col>
      <xdr:colOff>85725</xdr:colOff>
      <xdr:row>40</xdr:row>
      <xdr:rowOff>38100</xdr:rowOff>
    </xdr:to>
    <xdr:sp macro="" textlink="">
      <xdr:nvSpPr>
        <xdr:cNvPr id="66" name="24 CuadroTexto"/>
        <xdr:cNvSpPr txBox="1">
          <a:spLocks noChangeArrowheads="1"/>
        </xdr:cNvSpPr>
      </xdr:nvSpPr>
      <xdr:spPr bwMode="auto">
        <a:xfrm>
          <a:off x="6362700" y="3133725"/>
          <a:ext cx="76200" cy="3810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36</xdr:row>
      <xdr:rowOff>0</xdr:rowOff>
    </xdr:from>
    <xdr:to>
      <xdr:col>4</xdr:col>
      <xdr:colOff>85725</xdr:colOff>
      <xdr:row>37</xdr:row>
      <xdr:rowOff>47625</xdr:rowOff>
    </xdr:to>
    <xdr:sp macro="" textlink="">
      <xdr:nvSpPr>
        <xdr:cNvPr id="67" name="26 CuadroTexto"/>
        <xdr:cNvSpPr txBox="1">
          <a:spLocks noChangeArrowheads="1"/>
        </xdr:cNvSpPr>
      </xdr:nvSpPr>
      <xdr:spPr bwMode="auto">
        <a:xfrm>
          <a:off x="6362700" y="2105025"/>
          <a:ext cx="762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35</xdr:row>
      <xdr:rowOff>0</xdr:rowOff>
    </xdr:from>
    <xdr:to>
      <xdr:col>4</xdr:col>
      <xdr:colOff>85725</xdr:colOff>
      <xdr:row>36</xdr:row>
      <xdr:rowOff>47625</xdr:rowOff>
    </xdr:to>
    <xdr:sp macro="" textlink="">
      <xdr:nvSpPr>
        <xdr:cNvPr id="68" name="26 CuadroTexto"/>
        <xdr:cNvSpPr txBox="1">
          <a:spLocks noChangeArrowheads="1"/>
        </xdr:cNvSpPr>
      </xdr:nvSpPr>
      <xdr:spPr bwMode="auto">
        <a:xfrm>
          <a:off x="6362700" y="1762125"/>
          <a:ext cx="762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42</xdr:row>
      <xdr:rowOff>0</xdr:rowOff>
    </xdr:from>
    <xdr:to>
      <xdr:col>4</xdr:col>
      <xdr:colOff>85725</xdr:colOff>
      <xdr:row>44</xdr:row>
      <xdr:rowOff>47625</xdr:rowOff>
    </xdr:to>
    <xdr:sp macro="" textlink="">
      <xdr:nvSpPr>
        <xdr:cNvPr id="69" name="22 CuadroTexto"/>
        <xdr:cNvSpPr txBox="1">
          <a:spLocks noChangeArrowheads="1"/>
        </xdr:cNvSpPr>
      </xdr:nvSpPr>
      <xdr:spPr bwMode="auto">
        <a:xfrm>
          <a:off x="6362700" y="4162425"/>
          <a:ext cx="76200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85725</xdr:colOff>
      <xdr:row>43</xdr:row>
      <xdr:rowOff>123825</xdr:rowOff>
    </xdr:to>
    <xdr:sp macro="" textlink="">
      <xdr:nvSpPr>
        <xdr:cNvPr id="70" name="18 CuadroTexto"/>
        <xdr:cNvSpPr txBox="1">
          <a:spLocks noChangeArrowheads="1"/>
        </xdr:cNvSpPr>
      </xdr:nvSpPr>
      <xdr:spPr bwMode="auto">
        <a:xfrm>
          <a:off x="4495800" y="45053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85725</xdr:colOff>
      <xdr:row>44</xdr:row>
      <xdr:rowOff>123825</xdr:rowOff>
    </xdr:to>
    <xdr:sp macro="" textlink="">
      <xdr:nvSpPr>
        <xdr:cNvPr id="71" name="20 CuadroTexto"/>
        <xdr:cNvSpPr txBox="1">
          <a:spLocks noChangeArrowheads="1"/>
        </xdr:cNvSpPr>
      </xdr:nvSpPr>
      <xdr:spPr bwMode="auto">
        <a:xfrm>
          <a:off x="4495800" y="48482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85725</xdr:colOff>
      <xdr:row>42</xdr:row>
      <xdr:rowOff>47625</xdr:rowOff>
    </xdr:to>
    <xdr:sp macro="" textlink="">
      <xdr:nvSpPr>
        <xdr:cNvPr id="72" name="22 CuadroTexto"/>
        <xdr:cNvSpPr txBox="1">
          <a:spLocks noChangeArrowheads="1"/>
        </xdr:cNvSpPr>
      </xdr:nvSpPr>
      <xdr:spPr bwMode="auto">
        <a:xfrm>
          <a:off x="4495800" y="3819525"/>
          <a:ext cx="762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39</xdr:row>
      <xdr:rowOff>0</xdr:rowOff>
    </xdr:from>
    <xdr:to>
      <xdr:col>2</xdr:col>
      <xdr:colOff>85725</xdr:colOff>
      <xdr:row>40</xdr:row>
      <xdr:rowOff>38100</xdr:rowOff>
    </xdr:to>
    <xdr:sp macro="" textlink="">
      <xdr:nvSpPr>
        <xdr:cNvPr id="73" name="24 CuadroTexto"/>
        <xdr:cNvSpPr txBox="1">
          <a:spLocks noChangeArrowheads="1"/>
        </xdr:cNvSpPr>
      </xdr:nvSpPr>
      <xdr:spPr bwMode="auto">
        <a:xfrm>
          <a:off x="4495800" y="3133725"/>
          <a:ext cx="76200" cy="3810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36</xdr:row>
      <xdr:rowOff>0</xdr:rowOff>
    </xdr:from>
    <xdr:to>
      <xdr:col>2</xdr:col>
      <xdr:colOff>85725</xdr:colOff>
      <xdr:row>37</xdr:row>
      <xdr:rowOff>47625</xdr:rowOff>
    </xdr:to>
    <xdr:sp macro="" textlink="">
      <xdr:nvSpPr>
        <xdr:cNvPr id="74" name="26 CuadroTexto"/>
        <xdr:cNvSpPr txBox="1">
          <a:spLocks noChangeArrowheads="1"/>
        </xdr:cNvSpPr>
      </xdr:nvSpPr>
      <xdr:spPr bwMode="auto">
        <a:xfrm>
          <a:off x="4495800" y="2105025"/>
          <a:ext cx="762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35</xdr:row>
      <xdr:rowOff>0</xdr:rowOff>
    </xdr:from>
    <xdr:to>
      <xdr:col>2</xdr:col>
      <xdr:colOff>85725</xdr:colOff>
      <xdr:row>36</xdr:row>
      <xdr:rowOff>47625</xdr:rowOff>
    </xdr:to>
    <xdr:sp macro="" textlink="">
      <xdr:nvSpPr>
        <xdr:cNvPr id="75" name="26 CuadroTexto"/>
        <xdr:cNvSpPr txBox="1">
          <a:spLocks noChangeArrowheads="1"/>
        </xdr:cNvSpPr>
      </xdr:nvSpPr>
      <xdr:spPr bwMode="auto">
        <a:xfrm>
          <a:off x="4495800" y="1762125"/>
          <a:ext cx="76200" cy="390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42</xdr:row>
      <xdr:rowOff>0</xdr:rowOff>
    </xdr:from>
    <xdr:to>
      <xdr:col>2</xdr:col>
      <xdr:colOff>85725</xdr:colOff>
      <xdr:row>44</xdr:row>
      <xdr:rowOff>47625</xdr:rowOff>
    </xdr:to>
    <xdr:sp macro="" textlink="">
      <xdr:nvSpPr>
        <xdr:cNvPr id="76" name="22 CuadroTexto"/>
        <xdr:cNvSpPr txBox="1">
          <a:spLocks noChangeArrowheads="1"/>
        </xdr:cNvSpPr>
      </xdr:nvSpPr>
      <xdr:spPr bwMode="auto">
        <a:xfrm>
          <a:off x="4495800" y="4162425"/>
          <a:ext cx="76200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47</xdr:row>
      <xdr:rowOff>0</xdr:rowOff>
    </xdr:from>
    <xdr:to>
      <xdr:col>2</xdr:col>
      <xdr:colOff>628650</xdr:colOff>
      <xdr:row>47</xdr:row>
      <xdr:rowOff>123825</xdr:rowOff>
    </xdr:to>
    <xdr:sp macro="" textlink="">
      <xdr:nvSpPr>
        <xdr:cNvPr id="77" name="19 CuadroTexto"/>
        <xdr:cNvSpPr txBox="1">
          <a:spLocks noChangeArrowheads="1"/>
        </xdr:cNvSpPr>
      </xdr:nvSpPr>
      <xdr:spPr bwMode="auto">
        <a:xfrm>
          <a:off x="5038725" y="58769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47</xdr:row>
      <xdr:rowOff>0</xdr:rowOff>
    </xdr:from>
    <xdr:to>
      <xdr:col>4</xdr:col>
      <xdr:colOff>85725</xdr:colOff>
      <xdr:row>47</xdr:row>
      <xdr:rowOff>123825</xdr:rowOff>
    </xdr:to>
    <xdr:sp macro="" textlink="">
      <xdr:nvSpPr>
        <xdr:cNvPr id="78" name="18 CuadroTexto"/>
        <xdr:cNvSpPr txBox="1">
          <a:spLocks noChangeArrowheads="1"/>
        </xdr:cNvSpPr>
      </xdr:nvSpPr>
      <xdr:spPr bwMode="auto">
        <a:xfrm>
          <a:off x="6362700" y="58769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47</xdr:row>
      <xdr:rowOff>0</xdr:rowOff>
    </xdr:from>
    <xdr:to>
      <xdr:col>2</xdr:col>
      <xdr:colOff>85725</xdr:colOff>
      <xdr:row>47</xdr:row>
      <xdr:rowOff>123825</xdr:rowOff>
    </xdr:to>
    <xdr:sp macro="" textlink="">
      <xdr:nvSpPr>
        <xdr:cNvPr id="79" name="18 CuadroTexto"/>
        <xdr:cNvSpPr txBox="1">
          <a:spLocks noChangeArrowheads="1"/>
        </xdr:cNvSpPr>
      </xdr:nvSpPr>
      <xdr:spPr bwMode="auto">
        <a:xfrm>
          <a:off x="4495800" y="58769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48</xdr:row>
      <xdr:rowOff>0</xdr:rowOff>
    </xdr:from>
    <xdr:to>
      <xdr:col>2</xdr:col>
      <xdr:colOff>628650</xdr:colOff>
      <xdr:row>48</xdr:row>
      <xdr:rowOff>123825</xdr:rowOff>
    </xdr:to>
    <xdr:sp macro="" textlink="">
      <xdr:nvSpPr>
        <xdr:cNvPr id="80" name="19 CuadroTexto"/>
        <xdr:cNvSpPr txBox="1">
          <a:spLocks noChangeArrowheads="1"/>
        </xdr:cNvSpPr>
      </xdr:nvSpPr>
      <xdr:spPr bwMode="auto">
        <a:xfrm>
          <a:off x="5038725" y="62198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48</xdr:row>
      <xdr:rowOff>0</xdr:rowOff>
    </xdr:from>
    <xdr:to>
      <xdr:col>4</xdr:col>
      <xdr:colOff>85725</xdr:colOff>
      <xdr:row>48</xdr:row>
      <xdr:rowOff>123825</xdr:rowOff>
    </xdr:to>
    <xdr:sp macro="" textlink="">
      <xdr:nvSpPr>
        <xdr:cNvPr id="81" name="18 CuadroTexto"/>
        <xdr:cNvSpPr txBox="1">
          <a:spLocks noChangeArrowheads="1"/>
        </xdr:cNvSpPr>
      </xdr:nvSpPr>
      <xdr:spPr bwMode="auto">
        <a:xfrm>
          <a:off x="6362700" y="62198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48</xdr:row>
      <xdr:rowOff>0</xdr:rowOff>
    </xdr:from>
    <xdr:to>
      <xdr:col>2</xdr:col>
      <xdr:colOff>85725</xdr:colOff>
      <xdr:row>48</xdr:row>
      <xdr:rowOff>123825</xdr:rowOff>
    </xdr:to>
    <xdr:sp macro="" textlink="">
      <xdr:nvSpPr>
        <xdr:cNvPr id="82" name="18 CuadroTexto"/>
        <xdr:cNvSpPr txBox="1">
          <a:spLocks noChangeArrowheads="1"/>
        </xdr:cNvSpPr>
      </xdr:nvSpPr>
      <xdr:spPr bwMode="auto">
        <a:xfrm>
          <a:off x="4495800" y="62198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49</xdr:row>
      <xdr:rowOff>0</xdr:rowOff>
    </xdr:from>
    <xdr:to>
      <xdr:col>2</xdr:col>
      <xdr:colOff>628650</xdr:colOff>
      <xdr:row>49</xdr:row>
      <xdr:rowOff>123825</xdr:rowOff>
    </xdr:to>
    <xdr:sp macro="" textlink="">
      <xdr:nvSpPr>
        <xdr:cNvPr id="83" name="19 CuadroTexto"/>
        <xdr:cNvSpPr txBox="1">
          <a:spLocks noChangeArrowheads="1"/>
        </xdr:cNvSpPr>
      </xdr:nvSpPr>
      <xdr:spPr bwMode="auto">
        <a:xfrm>
          <a:off x="5038725" y="65627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49</xdr:row>
      <xdr:rowOff>0</xdr:rowOff>
    </xdr:from>
    <xdr:to>
      <xdr:col>4</xdr:col>
      <xdr:colOff>85725</xdr:colOff>
      <xdr:row>49</xdr:row>
      <xdr:rowOff>123825</xdr:rowOff>
    </xdr:to>
    <xdr:sp macro="" textlink="">
      <xdr:nvSpPr>
        <xdr:cNvPr id="84" name="18 CuadroTexto"/>
        <xdr:cNvSpPr txBox="1">
          <a:spLocks noChangeArrowheads="1"/>
        </xdr:cNvSpPr>
      </xdr:nvSpPr>
      <xdr:spPr bwMode="auto">
        <a:xfrm>
          <a:off x="6362700" y="65627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49</xdr:row>
      <xdr:rowOff>0</xdr:rowOff>
    </xdr:from>
    <xdr:to>
      <xdr:col>2</xdr:col>
      <xdr:colOff>85725</xdr:colOff>
      <xdr:row>49</xdr:row>
      <xdr:rowOff>123825</xdr:rowOff>
    </xdr:to>
    <xdr:sp macro="" textlink="">
      <xdr:nvSpPr>
        <xdr:cNvPr id="85" name="18 CuadroTexto"/>
        <xdr:cNvSpPr txBox="1">
          <a:spLocks noChangeArrowheads="1"/>
        </xdr:cNvSpPr>
      </xdr:nvSpPr>
      <xdr:spPr bwMode="auto">
        <a:xfrm>
          <a:off x="4495800" y="65627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50</xdr:row>
      <xdr:rowOff>0</xdr:rowOff>
    </xdr:from>
    <xdr:to>
      <xdr:col>2</xdr:col>
      <xdr:colOff>628650</xdr:colOff>
      <xdr:row>50</xdr:row>
      <xdr:rowOff>123825</xdr:rowOff>
    </xdr:to>
    <xdr:sp macro="" textlink="">
      <xdr:nvSpPr>
        <xdr:cNvPr id="86" name="19 CuadroTexto"/>
        <xdr:cNvSpPr txBox="1">
          <a:spLocks noChangeArrowheads="1"/>
        </xdr:cNvSpPr>
      </xdr:nvSpPr>
      <xdr:spPr bwMode="auto">
        <a:xfrm>
          <a:off x="5038725" y="69056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50</xdr:row>
      <xdr:rowOff>0</xdr:rowOff>
    </xdr:from>
    <xdr:to>
      <xdr:col>4</xdr:col>
      <xdr:colOff>85725</xdr:colOff>
      <xdr:row>50</xdr:row>
      <xdr:rowOff>123825</xdr:rowOff>
    </xdr:to>
    <xdr:sp macro="" textlink="">
      <xdr:nvSpPr>
        <xdr:cNvPr id="87" name="18 CuadroTexto"/>
        <xdr:cNvSpPr txBox="1">
          <a:spLocks noChangeArrowheads="1"/>
        </xdr:cNvSpPr>
      </xdr:nvSpPr>
      <xdr:spPr bwMode="auto">
        <a:xfrm>
          <a:off x="6362700" y="69056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50</xdr:row>
      <xdr:rowOff>0</xdr:rowOff>
    </xdr:from>
    <xdr:to>
      <xdr:col>2</xdr:col>
      <xdr:colOff>85725</xdr:colOff>
      <xdr:row>50</xdr:row>
      <xdr:rowOff>123825</xdr:rowOff>
    </xdr:to>
    <xdr:sp macro="" textlink="">
      <xdr:nvSpPr>
        <xdr:cNvPr id="88" name="18 CuadroTexto"/>
        <xdr:cNvSpPr txBox="1">
          <a:spLocks noChangeArrowheads="1"/>
        </xdr:cNvSpPr>
      </xdr:nvSpPr>
      <xdr:spPr bwMode="auto">
        <a:xfrm>
          <a:off x="4495800" y="69056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46</xdr:row>
      <xdr:rowOff>0</xdr:rowOff>
    </xdr:from>
    <xdr:to>
      <xdr:col>2</xdr:col>
      <xdr:colOff>628650</xdr:colOff>
      <xdr:row>46</xdr:row>
      <xdr:rowOff>123825</xdr:rowOff>
    </xdr:to>
    <xdr:sp macro="" textlink="">
      <xdr:nvSpPr>
        <xdr:cNvPr id="89" name="19 CuadroTexto"/>
        <xdr:cNvSpPr txBox="1">
          <a:spLocks noChangeArrowheads="1"/>
        </xdr:cNvSpPr>
      </xdr:nvSpPr>
      <xdr:spPr bwMode="auto">
        <a:xfrm>
          <a:off x="5038725" y="55340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123825</xdr:rowOff>
    </xdr:to>
    <xdr:sp macro="" textlink="">
      <xdr:nvSpPr>
        <xdr:cNvPr id="90" name="18 CuadroTexto"/>
        <xdr:cNvSpPr txBox="1">
          <a:spLocks noChangeArrowheads="1"/>
        </xdr:cNvSpPr>
      </xdr:nvSpPr>
      <xdr:spPr bwMode="auto">
        <a:xfrm>
          <a:off x="6362700" y="55340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46</xdr:row>
      <xdr:rowOff>0</xdr:rowOff>
    </xdr:from>
    <xdr:to>
      <xdr:col>2</xdr:col>
      <xdr:colOff>85725</xdr:colOff>
      <xdr:row>46</xdr:row>
      <xdr:rowOff>123825</xdr:rowOff>
    </xdr:to>
    <xdr:sp macro="" textlink="">
      <xdr:nvSpPr>
        <xdr:cNvPr id="91" name="18 CuadroTexto"/>
        <xdr:cNvSpPr txBox="1">
          <a:spLocks noChangeArrowheads="1"/>
        </xdr:cNvSpPr>
      </xdr:nvSpPr>
      <xdr:spPr bwMode="auto">
        <a:xfrm>
          <a:off x="4495800" y="55340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9525</xdr:colOff>
      <xdr:row>46</xdr:row>
      <xdr:rowOff>0</xdr:rowOff>
    </xdr:from>
    <xdr:to>
      <xdr:col>4</xdr:col>
      <xdr:colOff>85725</xdr:colOff>
      <xdr:row>46</xdr:row>
      <xdr:rowOff>123825</xdr:rowOff>
    </xdr:to>
    <xdr:sp macro="" textlink="">
      <xdr:nvSpPr>
        <xdr:cNvPr id="92" name="18 CuadroTexto"/>
        <xdr:cNvSpPr txBox="1">
          <a:spLocks noChangeArrowheads="1"/>
        </xdr:cNvSpPr>
      </xdr:nvSpPr>
      <xdr:spPr bwMode="auto">
        <a:xfrm>
          <a:off x="6362700" y="55340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552450</xdr:colOff>
      <xdr:row>45</xdr:row>
      <xdr:rowOff>0</xdr:rowOff>
    </xdr:from>
    <xdr:to>
      <xdr:col>2</xdr:col>
      <xdr:colOff>628650</xdr:colOff>
      <xdr:row>45</xdr:row>
      <xdr:rowOff>123825</xdr:rowOff>
    </xdr:to>
    <xdr:sp macro="" textlink="">
      <xdr:nvSpPr>
        <xdr:cNvPr id="93" name="21 CuadroTexto"/>
        <xdr:cNvSpPr txBox="1">
          <a:spLocks noChangeArrowheads="1"/>
        </xdr:cNvSpPr>
      </xdr:nvSpPr>
      <xdr:spPr bwMode="auto">
        <a:xfrm>
          <a:off x="5038725" y="51911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85725</xdr:colOff>
      <xdr:row>45</xdr:row>
      <xdr:rowOff>123825</xdr:rowOff>
    </xdr:to>
    <xdr:sp macro="" textlink="">
      <xdr:nvSpPr>
        <xdr:cNvPr id="94" name="20 CuadroTexto"/>
        <xdr:cNvSpPr txBox="1">
          <a:spLocks noChangeArrowheads="1"/>
        </xdr:cNvSpPr>
      </xdr:nvSpPr>
      <xdr:spPr bwMode="auto">
        <a:xfrm>
          <a:off x="4495800" y="5191125"/>
          <a:ext cx="76200" cy="1238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cajamarca.gob.pe/sites/default/files/documentos/planificacion/Users/flatorraca/Desktop/Taller%20Sist.%20Planeam/ADMINISTRACI&#211;N/EVALUACION%20POA%202012/Dir_Reg_Energ&#237;a%20Min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idades"/>
      <sheetName val="DATA"/>
    </sheetNames>
    <sheetDataSet>
      <sheetData sheetId="0"/>
      <sheetData sheetId="1" refreshError="1">
        <row r="59">
          <cell r="A59" t="str">
            <v>Familias</v>
          </cell>
        </row>
        <row r="60">
          <cell r="A60" t="str">
            <v>Comunidades</v>
          </cell>
        </row>
        <row r="61">
          <cell r="A61" t="str">
            <v>Habitantes</v>
          </cell>
        </row>
        <row r="62">
          <cell r="A62" t="str">
            <v>Alumnos</v>
          </cell>
        </row>
        <row r="63">
          <cell r="A63" t="str">
            <v>Escribir Aquí Unidad de Medida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8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J293"/>
  <sheetViews>
    <sheetView showZeros="0" view="pageBreakPreview" zoomScaleNormal="100" zoomScaleSheetLayoutView="100" workbookViewId="0">
      <pane ySplit="7" topLeftCell="A284" activePane="bottomLeft" state="frozen"/>
      <selection pane="bottomLeft" activeCell="H35" sqref="H35"/>
    </sheetView>
  </sheetViews>
  <sheetFormatPr baseColWidth="10" defaultRowHeight="12.75" x14ac:dyDescent="0.2"/>
  <cols>
    <col min="1" max="1" width="4.28515625" style="4" customWidth="1"/>
    <col min="2" max="2" width="61.42578125" style="2" customWidth="1"/>
    <col min="3" max="3" width="16.28515625" style="5" customWidth="1"/>
    <col min="4" max="4" width="15.28515625" style="6" customWidth="1"/>
    <col min="5" max="5" width="12.140625" style="40" customWidth="1"/>
    <col min="6" max="6" width="12.140625" style="2" customWidth="1"/>
    <col min="7" max="7" width="11.7109375" style="2" customWidth="1"/>
    <col min="8" max="8" width="14.140625" style="2" customWidth="1"/>
    <col min="9" max="9" width="13.5703125" style="2" customWidth="1"/>
    <col min="10" max="10" width="9.5703125" style="2" customWidth="1"/>
    <col min="11" max="16384" width="11.42578125" style="2"/>
  </cols>
  <sheetData>
    <row r="1" spans="1:10" ht="3.75" customHeight="1" x14ac:dyDescent="0.2">
      <c r="D1" s="6" t="s">
        <v>2732</v>
      </c>
    </row>
    <row r="2" spans="1:10" ht="18.75" customHeight="1" x14ac:dyDescent="0.2">
      <c r="A2" s="2332" t="s">
        <v>16</v>
      </c>
      <c r="B2" s="2333"/>
      <c r="C2" s="81"/>
      <c r="D2" s="82"/>
      <c r="E2" s="83"/>
      <c r="F2" s="84"/>
      <c r="G2" s="85"/>
      <c r="H2" s="85"/>
      <c r="I2" s="85"/>
      <c r="J2" s="86"/>
    </row>
    <row r="3" spans="1:10" ht="27" customHeight="1" x14ac:dyDescent="0.2">
      <c r="A3" s="2328" t="s">
        <v>2780</v>
      </c>
      <c r="B3" s="2329"/>
      <c r="C3" s="2329"/>
      <c r="D3" s="2329"/>
      <c r="E3" s="2329"/>
      <c r="F3" s="2329"/>
      <c r="G3" s="2329"/>
      <c r="H3" s="2329"/>
      <c r="I3" s="2329"/>
      <c r="J3" s="2330"/>
    </row>
    <row r="4" spans="1:10" ht="25.5" customHeight="1" x14ac:dyDescent="0.2">
      <c r="A4" s="2325" t="s">
        <v>921</v>
      </c>
      <c r="B4" s="2326"/>
      <c r="C4" s="2326"/>
      <c r="D4" s="2326"/>
      <c r="E4" s="2326"/>
      <c r="F4" s="2326"/>
      <c r="G4" s="2326"/>
      <c r="H4" s="2326"/>
      <c r="I4" s="2326"/>
      <c r="J4" s="2327"/>
    </row>
    <row r="5" spans="1:10" ht="18" customHeight="1" x14ac:dyDescent="0.2">
      <c r="A5" s="2325" t="s">
        <v>12</v>
      </c>
      <c r="B5" s="2326"/>
      <c r="C5" s="2326"/>
      <c r="D5" s="2326"/>
      <c r="E5" s="2326"/>
      <c r="F5" s="2326"/>
      <c r="G5" s="2326"/>
      <c r="H5" s="2326"/>
      <c r="I5" s="2326"/>
      <c r="J5" s="2327"/>
    </row>
    <row r="6" spans="1:10" ht="18" customHeight="1" x14ac:dyDescent="0.2">
      <c r="A6" s="2334" t="s">
        <v>0</v>
      </c>
      <c r="B6" s="2334" t="s">
        <v>1</v>
      </c>
      <c r="C6" s="2334" t="s">
        <v>2</v>
      </c>
      <c r="D6" s="2331" t="s">
        <v>1781</v>
      </c>
      <c r="E6" s="2331"/>
      <c r="F6" s="2331"/>
      <c r="G6" s="2331"/>
      <c r="H6" s="2331" t="s">
        <v>774</v>
      </c>
      <c r="I6" s="2331"/>
      <c r="J6" s="2331"/>
    </row>
    <row r="7" spans="1:10" ht="24.75" customHeight="1" x14ac:dyDescent="0.2">
      <c r="A7" s="2334"/>
      <c r="B7" s="2334"/>
      <c r="C7" s="2334"/>
      <c r="D7" s="1867" t="s">
        <v>3</v>
      </c>
      <c r="E7" s="1867" t="s">
        <v>4</v>
      </c>
      <c r="F7" s="1867" t="s">
        <v>747</v>
      </c>
      <c r="G7" s="1867" t="s">
        <v>746</v>
      </c>
      <c r="H7" s="1868" t="s">
        <v>748</v>
      </c>
      <c r="I7" s="1867" t="s">
        <v>747</v>
      </c>
      <c r="J7" s="1867" t="s">
        <v>746</v>
      </c>
    </row>
    <row r="8" spans="1:10" ht="19.5" customHeight="1" x14ac:dyDescent="0.2">
      <c r="A8" s="1869"/>
      <c r="B8" s="1870"/>
      <c r="C8" s="2324" t="s">
        <v>777</v>
      </c>
      <c r="D8" s="2324"/>
      <c r="E8" s="2324"/>
      <c r="F8" s="2324"/>
      <c r="G8" s="2324"/>
      <c r="H8" s="1871">
        <f>+H9+H255+H261+H267+H280</f>
        <v>825087862.28999996</v>
      </c>
      <c r="I8" s="1872">
        <f>+I9+I255+I261+I267+I280</f>
        <v>368837004.41000009</v>
      </c>
      <c r="J8" s="1873">
        <f>+I8/H8*100</f>
        <v>44.702754854047541</v>
      </c>
    </row>
    <row r="9" spans="1:10" ht="18" customHeight="1" x14ac:dyDescent="0.2">
      <c r="A9" s="2323" t="s">
        <v>72</v>
      </c>
      <c r="B9" s="2323"/>
      <c r="C9" s="1874"/>
      <c r="D9" s="1874"/>
      <c r="E9" s="1874"/>
      <c r="F9" s="1874"/>
      <c r="G9" s="1874"/>
      <c r="H9" s="1875">
        <f>+H10+H17+H43+H59</f>
        <v>799962324.28999996</v>
      </c>
      <c r="I9" s="1876">
        <f>+I10+I17+I43+I59</f>
        <v>362113891.28000003</v>
      </c>
      <c r="J9" s="1877">
        <f>+I9/H9*100</f>
        <v>45.266368213201943</v>
      </c>
    </row>
    <row r="10" spans="1:10" ht="18.75" customHeight="1" x14ac:dyDescent="0.2">
      <c r="A10" s="1878"/>
      <c r="B10" s="1879" t="s">
        <v>550</v>
      </c>
      <c r="C10" s="1880"/>
      <c r="D10" s="1881"/>
      <c r="E10" s="1882"/>
      <c r="F10" s="1882"/>
      <c r="G10" s="1882"/>
      <c r="H10" s="2249">
        <f>+H11+H13+H15</f>
        <v>778221</v>
      </c>
      <c r="I10" s="1883">
        <f>+I11+I13+I15</f>
        <v>755903.14</v>
      </c>
      <c r="J10" s="1883">
        <f>+I10/H10*100</f>
        <v>97.132195096251579</v>
      </c>
    </row>
    <row r="11" spans="1:10" ht="24" customHeight="1" x14ac:dyDescent="0.2">
      <c r="A11" s="2246">
        <v>1</v>
      </c>
      <c r="B11" s="1884" t="s">
        <v>776</v>
      </c>
      <c r="C11" s="1885"/>
      <c r="D11" s="1886"/>
      <c r="E11" s="1886"/>
      <c r="F11" s="1887"/>
      <c r="G11" s="1888"/>
      <c r="H11" s="1889">
        <f>+H12</f>
        <v>755000</v>
      </c>
      <c r="I11" s="1890">
        <f>+I12</f>
        <v>752585</v>
      </c>
      <c r="J11" s="1891">
        <f>+I11/H11*100</f>
        <v>99.680132450331129</v>
      </c>
    </row>
    <row r="12" spans="1:10" ht="26.25" customHeight="1" x14ac:dyDescent="0.2">
      <c r="A12" s="2246"/>
      <c r="B12" s="1892" t="s">
        <v>749</v>
      </c>
      <c r="C12" s="1893" t="s">
        <v>32</v>
      </c>
      <c r="D12" s="1894" t="s">
        <v>33</v>
      </c>
      <c r="E12" s="1895">
        <v>550</v>
      </c>
      <c r="F12" s="1896">
        <v>480</v>
      </c>
      <c r="G12" s="1897">
        <f t="shared" ref="G12:G16" si="0">+F12/E12*100</f>
        <v>87.272727272727266</v>
      </c>
      <c r="H12" s="1898">
        <v>755000</v>
      </c>
      <c r="I12" s="1899">
        <f>755000-2415</f>
        <v>752585</v>
      </c>
      <c r="J12" s="1897">
        <f t="shared" ref="J12:J16" si="1">+I12/H12*100</f>
        <v>99.680132450331129</v>
      </c>
    </row>
    <row r="13" spans="1:10" ht="21.75" customHeight="1" x14ac:dyDescent="0.2">
      <c r="A13" s="2246">
        <v>2</v>
      </c>
      <c r="B13" s="1900" t="s">
        <v>775</v>
      </c>
      <c r="C13" s="1901"/>
      <c r="D13" s="1902"/>
      <c r="E13" s="1903"/>
      <c r="F13" s="1904"/>
      <c r="G13" s="1897"/>
      <c r="H13" s="1904">
        <v>22200</v>
      </c>
      <c r="I13" s="1890">
        <f>+I14</f>
        <v>2415</v>
      </c>
      <c r="J13" s="1891">
        <f t="shared" si="1"/>
        <v>10.878378378378379</v>
      </c>
    </row>
    <row r="14" spans="1:10" ht="20.25" customHeight="1" x14ac:dyDescent="0.2">
      <c r="A14" s="2246"/>
      <c r="B14" s="1905" t="s">
        <v>750</v>
      </c>
      <c r="C14" s="1893" t="s">
        <v>32</v>
      </c>
      <c r="D14" s="1902" t="s">
        <v>414</v>
      </c>
      <c r="E14" s="1903">
        <v>1</v>
      </c>
      <c r="F14" s="1906">
        <v>0.1</v>
      </c>
      <c r="G14" s="1897">
        <f t="shared" si="0"/>
        <v>10</v>
      </c>
      <c r="H14" s="1907">
        <v>22200</v>
      </c>
      <c r="I14" s="1899">
        <v>2415</v>
      </c>
      <c r="J14" s="1897">
        <f t="shared" si="1"/>
        <v>10.878378378378379</v>
      </c>
    </row>
    <row r="15" spans="1:10" ht="22.5" customHeight="1" x14ac:dyDescent="0.2">
      <c r="A15" s="2246">
        <v>3</v>
      </c>
      <c r="B15" s="1884" t="s">
        <v>548</v>
      </c>
      <c r="C15" s="1908"/>
      <c r="D15" s="1894"/>
      <c r="E15" s="1895"/>
      <c r="F15" s="1889"/>
      <c r="G15" s="1897"/>
      <c r="H15" s="1889">
        <f>+H16</f>
        <v>1021</v>
      </c>
      <c r="I15" s="1890">
        <v>903.14</v>
      </c>
      <c r="J15" s="1891">
        <f t="shared" si="1"/>
        <v>88.456415279138099</v>
      </c>
    </row>
    <row r="16" spans="1:10" ht="26.25" customHeight="1" x14ac:dyDescent="0.2">
      <c r="A16" s="1909"/>
      <c r="B16" s="1892" t="s">
        <v>751</v>
      </c>
      <c r="C16" s="1893" t="s">
        <v>32</v>
      </c>
      <c r="D16" s="1894" t="s">
        <v>414</v>
      </c>
      <c r="E16" s="1903">
        <v>1</v>
      </c>
      <c r="F16" s="1898">
        <v>1</v>
      </c>
      <c r="G16" s="1897">
        <f t="shared" si="0"/>
        <v>100</v>
      </c>
      <c r="H16" s="1898">
        <v>1021</v>
      </c>
      <c r="I16" s="1899">
        <v>903.14</v>
      </c>
      <c r="J16" s="1897">
        <f t="shared" si="1"/>
        <v>88.456415279138099</v>
      </c>
    </row>
    <row r="17" spans="1:10" ht="21.75" customHeight="1" x14ac:dyDescent="0.2">
      <c r="A17" s="1878"/>
      <c r="B17" s="1910" t="s">
        <v>549</v>
      </c>
      <c r="C17" s="1911"/>
      <c r="D17" s="1881"/>
      <c r="E17" s="1912"/>
      <c r="F17" s="1912"/>
      <c r="G17" s="1912"/>
      <c r="H17" s="2249">
        <f>+H18+H25+H28+H32+H34+H38+H42</f>
        <v>200987</v>
      </c>
      <c r="I17" s="1883">
        <f>+I18+I25+I28+I32+I34+I38+I42</f>
        <v>86214.81</v>
      </c>
      <c r="J17" s="1883">
        <f>+I17/H17*100</f>
        <v>42.895714648211076</v>
      </c>
    </row>
    <row r="18" spans="1:10" ht="18.75" customHeight="1" x14ac:dyDescent="0.2">
      <c r="A18" s="2246">
        <v>1</v>
      </c>
      <c r="B18" s="1913" t="s">
        <v>752</v>
      </c>
      <c r="C18" s="1893" t="s">
        <v>32</v>
      </c>
      <c r="D18" s="1893" t="s">
        <v>740</v>
      </c>
      <c r="E18" s="1914">
        <v>12</v>
      </c>
      <c r="F18" s="1915">
        <v>8</v>
      </c>
      <c r="G18" s="1899">
        <f>+F18/E18*100</f>
        <v>66.666666666666657</v>
      </c>
      <c r="H18" s="1916">
        <f>+SUM(H19:H24)</f>
        <v>27854</v>
      </c>
      <c r="I18" s="1890">
        <f>+SUM(I19:I24)</f>
        <v>12260.87</v>
      </c>
      <c r="J18" s="1890">
        <f>+I18/H18*100</f>
        <v>44.018345659510302</v>
      </c>
    </row>
    <row r="19" spans="1:10" ht="14.25" customHeight="1" x14ac:dyDescent="0.2">
      <c r="A19" s="2246"/>
      <c r="B19" s="1917" t="s">
        <v>753</v>
      </c>
      <c r="C19" s="1893" t="s">
        <v>32</v>
      </c>
      <c r="D19" s="1893" t="s">
        <v>274</v>
      </c>
      <c r="E19" s="1914">
        <v>1</v>
      </c>
      <c r="F19" s="1915">
        <v>1</v>
      </c>
      <c r="G19" s="1899">
        <f t="shared" ref="G19:G40" si="2">+F19/E19*100</f>
        <v>100</v>
      </c>
      <c r="H19" s="1915">
        <v>25000</v>
      </c>
      <c r="I19" s="1899">
        <v>9600</v>
      </c>
      <c r="J19" s="1899">
        <f>+I19/H19*100</f>
        <v>38.4</v>
      </c>
    </row>
    <row r="20" spans="1:10" ht="17.25" customHeight="1" x14ac:dyDescent="0.2">
      <c r="A20" s="2246"/>
      <c r="B20" s="2245" t="s">
        <v>754</v>
      </c>
      <c r="C20" s="1893" t="s">
        <v>32</v>
      </c>
      <c r="D20" s="1893" t="s">
        <v>755</v>
      </c>
      <c r="E20" s="1914">
        <v>1</v>
      </c>
      <c r="F20" s="1915">
        <v>1</v>
      </c>
      <c r="G20" s="1899">
        <f t="shared" si="2"/>
        <v>100</v>
      </c>
      <c r="H20" s="1915">
        <v>964</v>
      </c>
      <c r="I20" s="1899">
        <v>963.12</v>
      </c>
      <c r="J20" s="1899">
        <f t="shared" ref="J20:J26" si="3">+I20/H20*100</f>
        <v>99.908713692946066</v>
      </c>
    </row>
    <row r="21" spans="1:10" ht="21" customHeight="1" x14ac:dyDescent="0.2">
      <c r="A21" s="2246"/>
      <c r="B21" s="2245" t="s">
        <v>780</v>
      </c>
      <c r="C21" s="1893" t="s">
        <v>32</v>
      </c>
      <c r="D21" s="1893" t="s">
        <v>755</v>
      </c>
      <c r="E21" s="1914">
        <v>1</v>
      </c>
      <c r="F21" s="1915">
        <v>1</v>
      </c>
      <c r="G21" s="1899">
        <f t="shared" si="2"/>
        <v>100</v>
      </c>
      <c r="H21" s="1915">
        <v>483</v>
      </c>
      <c r="I21" s="1899">
        <v>482.25</v>
      </c>
      <c r="J21" s="1899">
        <f t="shared" si="3"/>
        <v>99.844720496894411</v>
      </c>
    </row>
    <row r="22" spans="1:10" ht="18" customHeight="1" x14ac:dyDescent="0.2">
      <c r="A22" s="2246"/>
      <c r="B22" s="2245" t="s">
        <v>756</v>
      </c>
      <c r="C22" s="1893" t="s">
        <v>32</v>
      </c>
      <c r="D22" s="1893" t="s">
        <v>755</v>
      </c>
      <c r="E22" s="1914">
        <v>1</v>
      </c>
      <c r="F22" s="1915">
        <v>1</v>
      </c>
      <c r="G22" s="1899">
        <f t="shared" si="2"/>
        <v>100</v>
      </c>
      <c r="H22" s="1915">
        <v>307</v>
      </c>
      <c r="I22" s="1899">
        <v>305.5</v>
      </c>
      <c r="J22" s="1899">
        <f t="shared" si="3"/>
        <v>99.511400651465792</v>
      </c>
    </row>
    <row r="23" spans="1:10" ht="18.75" customHeight="1" x14ac:dyDescent="0.2">
      <c r="A23" s="1918"/>
      <c r="B23" s="2245" t="s">
        <v>757</v>
      </c>
      <c r="C23" s="1893" t="s">
        <v>32</v>
      </c>
      <c r="D23" s="1893" t="s">
        <v>758</v>
      </c>
      <c r="E23" s="1914">
        <v>4</v>
      </c>
      <c r="F23" s="1914">
        <v>2</v>
      </c>
      <c r="G23" s="1899">
        <f t="shared" si="2"/>
        <v>50</v>
      </c>
      <c r="H23" s="1907">
        <v>1000</v>
      </c>
      <c r="I23" s="1919">
        <v>840</v>
      </c>
      <c r="J23" s="1899">
        <f t="shared" si="3"/>
        <v>84</v>
      </c>
    </row>
    <row r="24" spans="1:10" ht="18.75" customHeight="1" x14ac:dyDescent="0.2">
      <c r="A24" s="1918"/>
      <c r="B24" s="1917" t="s">
        <v>759</v>
      </c>
      <c r="C24" s="1893" t="s">
        <v>32</v>
      </c>
      <c r="D24" s="1893" t="s">
        <v>99</v>
      </c>
      <c r="E24" s="1914">
        <v>2</v>
      </c>
      <c r="F24" s="1914">
        <v>2</v>
      </c>
      <c r="G24" s="1899">
        <f t="shared" si="2"/>
        <v>100</v>
      </c>
      <c r="H24" s="1907">
        <v>100</v>
      </c>
      <c r="I24" s="1899">
        <v>70</v>
      </c>
      <c r="J24" s="1899">
        <f t="shared" si="3"/>
        <v>70</v>
      </c>
    </row>
    <row r="25" spans="1:10" ht="28.5" customHeight="1" x14ac:dyDescent="0.2">
      <c r="A25" s="2246">
        <v>2</v>
      </c>
      <c r="B25" s="1913" t="s">
        <v>760</v>
      </c>
      <c r="C25" s="1893" t="s">
        <v>32</v>
      </c>
      <c r="D25" s="1893" t="s">
        <v>77</v>
      </c>
      <c r="E25" s="1914">
        <v>13</v>
      </c>
      <c r="F25" s="1914">
        <v>2</v>
      </c>
      <c r="G25" s="1899">
        <f t="shared" si="2"/>
        <v>15.384615384615385</v>
      </c>
      <c r="H25" s="1904">
        <f>+SUM(H26:H27)</f>
        <v>2273</v>
      </c>
      <c r="I25" s="1920">
        <f>+SUM(I26:I27)</f>
        <v>1820</v>
      </c>
      <c r="J25" s="1920">
        <f>+I25/H25*100</f>
        <v>80.070391553013636</v>
      </c>
    </row>
    <row r="26" spans="1:10" ht="18.75" customHeight="1" x14ac:dyDescent="0.2">
      <c r="A26" s="1918"/>
      <c r="B26" s="2245" t="s">
        <v>761</v>
      </c>
      <c r="C26" s="1893"/>
      <c r="D26" s="1893" t="s">
        <v>758</v>
      </c>
      <c r="E26" s="1914">
        <v>13</v>
      </c>
      <c r="F26" s="1914">
        <v>13</v>
      </c>
      <c r="G26" s="1899">
        <f t="shared" si="2"/>
        <v>100</v>
      </c>
      <c r="H26" s="1907">
        <v>1500</v>
      </c>
      <c r="I26" s="1899">
        <v>1820</v>
      </c>
      <c r="J26" s="1899">
        <f t="shared" si="3"/>
        <v>121.33333333333334</v>
      </c>
    </row>
    <row r="27" spans="1:10" ht="18.75" customHeight="1" x14ac:dyDescent="0.2">
      <c r="A27" s="1918"/>
      <c r="B27" s="2245" t="s">
        <v>416</v>
      </c>
      <c r="C27" s="1893"/>
      <c r="D27" s="1893" t="s">
        <v>762</v>
      </c>
      <c r="E27" s="1914">
        <v>1</v>
      </c>
      <c r="F27" s="1914"/>
      <c r="G27" s="1899">
        <f t="shared" ref="G27" si="4">+F27/E27</f>
        <v>0</v>
      </c>
      <c r="H27" s="1907">
        <v>773</v>
      </c>
      <c r="I27" s="1919"/>
      <c r="J27" s="1899">
        <f t="shared" ref="J27:J33" si="5">+I27/H27</f>
        <v>0</v>
      </c>
    </row>
    <row r="28" spans="1:10" ht="25.5" x14ac:dyDescent="0.2">
      <c r="A28" s="2246">
        <v>3</v>
      </c>
      <c r="B28" s="1913" t="s">
        <v>763</v>
      </c>
      <c r="C28" s="2295" t="s">
        <v>32</v>
      </c>
      <c r="D28" s="1893" t="s">
        <v>59</v>
      </c>
      <c r="E28" s="1914">
        <v>13</v>
      </c>
      <c r="F28" s="1914">
        <v>8</v>
      </c>
      <c r="G28" s="1899">
        <f t="shared" si="2"/>
        <v>61.53846153846154</v>
      </c>
      <c r="H28" s="1916">
        <f>+SUM(H29:H31)</f>
        <v>5223</v>
      </c>
      <c r="I28" s="1890">
        <f>+SUM(I29:I31)</f>
        <v>4770</v>
      </c>
      <c r="J28" s="1890">
        <f>+I28/H28*100</f>
        <v>91.326823664560592</v>
      </c>
    </row>
    <row r="29" spans="1:10" ht="18.75" customHeight="1" x14ac:dyDescent="0.2">
      <c r="A29" s="1918"/>
      <c r="B29" s="2245" t="s">
        <v>764</v>
      </c>
      <c r="C29" s="2296"/>
      <c r="D29" s="1893" t="s">
        <v>758</v>
      </c>
      <c r="E29" s="1914">
        <v>13</v>
      </c>
      <c r="F29" s="1914">
        <v>8</v>
      </c>
      <c r="G29" s="1899">
        <f t="shared" si="2"/>
        <v>61.53846153846154</v>
      </c>
      <c r="H29" s="1907">
        <v>1500</v>
      </c>
      <c r="I29" s="1899">
        <v>1820</v>
      </c>
      <c r="J29" s="1899">
        <f t="shared" ref="J29:J31" si="6">+I29/H29*100</f>
        <v>121.33333333333334</v>
      </c>
    </row>
    <row r="30" spans="1:10" ht="21" customHeight="1" x14ac:dyDescent="0.2">
      <c r="A30" s="1918"/>
      <c r="B30" s="2245" t="s">
        <v>416</v>
      </c>
      <c r="C30" s="2296"/>
      <c r="D30" s="1893" t="s">
        <v>762</v>
      </c>
      <c r="E30" s="1914">
        <v>1</v>
      </c>
      <c r="F30" s="1914">
        <v>0</v>
      </c>
      <c r="G30" s="1899">
        <f t="shared" si="2"/>
        <v>0</v>
      </c>
      <c r="H30" s="1907">
        <v>773</v>
      </c>
      <c r="I30" s="1919">
        <v>0</v>
      </c>
      <c r="J30" s="1899">
        <f t="shared" si="6"/>
        <v>0</v>
      </c>
    </row>
    <row r="31" spans="1:10" ht="35.25" customHeight="1" x14ac:dyDescent="0.2">
      <c r="A31" s="1918"/>
      <c r="B31" s="2245" t="s">
        <v>765</v>
      </c>
      <c r="C31" s="2297"/>
      <c r="D31" s="1893" t="s">
        <v>274</v>
      </c>
      <c r="E31" s="1914">
        <v>1</v>
      </c>
      <c r="F31" s="1914">
        <v>1</v>
      </c>
      <c r="G31" s="1899">
        <f t="shared" si="2"/>
        <v>100</v>
      </c>
      <c r="H31" s="1915">
        <v>2950</v>
      </c>
      <c r="I31" s="1906">
        <v>2950</v>
      </c>
      <c r="J31" s="1899">
        <f t="shared" si="6"/>
        <v>100</v>
      </c>
    </row>
    <row r="32" spans="1:10" ht="19.5" customHeight="1" x14ac:dyDescent="0.2">
      <c r="A32" s="2246">
        <v>4</v>
      </c>
      <c r="B32" s="1913" t="s">
        <v>766</v>
      </c>
      <c r="C32" s="1893"/>
      <c r="D32" s="1893" t="s">
        <v>767</v>
      </c>
      <c r="E32" s="1914">
        <v>1</v>
      </c>
      <c r="F32" s="1914"/>
      <c r="G32" s="1899">
        <f t="shared" si="2"/>
        <v>0</v>
      </c>
      <c r="H32" s="1916">
        <f>+H33</f>
        <v>7200</v>
      </c>
      <c r="I32" s="1890">
        <v>0</v>
      </c>
      <c r="J32" s="1890">
        <f>+I32/H32*100</f>
        <v>0</v>
      </c>
    </row>
    <row r="33" spans="1:10" ht="18.75" customHeight="1" x14ac:dyDescent="0.2">
      <c r="A33" s="1918"/>
      <c r="B33" s="2245" t="s">
        <v>778</v>
      </c>
      <c r="C33" s="1893" t="s">
        <v>735</v>
      </c>
      <c r="D33" s="1893" t="s">
        <v>762</v>
      </c>
      <c r="E33" s="1914">
        <v>1</v>
      </c>
      <c r="F33" s="1914"/>
      <c r="G33" s="1899"/>
      <c r="H33" s="1915">
        <v>7200</v>
      </c>
      <c r="I33" s="1919">
        <v>0</v>
      </c>
      <c r="J33" s="1899">
        <f t="shared" si="5"/>
        <v>0</v>
      </c>
    </row>
    <row r="34" spans="1:10" ht="27" customHeight="1" x14ac:dyDescent="0.2">
      <c r="A34" s="2246">
        <v>5</v>
      </c>
      <c r="B34" s="1913" t="s">
        <v>768</v>
      </c>
      <c r="C34" s="2295" t="s">
        <v>32</v>
      </c>
      <c r="D34" s="1893" t="s">
        <v>77</v>
      </c>
      <c r="E34" s="1914">
        <v>8</v>
      </c>
      <c r="F34" s="1914">
        <v>4</v>
      </c>
      <c r="G34" s="1899">
        <f t="shared" si="2"/>
        <v>50</v>
      </c>
      <c r="H34" s="1916">
        <f>+SUM(H35:H37)</f>
        <v>25900</v>
      </c>
      <c r="I34" s="1890">
        <f>+SUM(I35:I37)</f>
        <v>10032</v>
      </c>
      <c r="J34" s="1890">
        <f>+I34/H34*100</f>
        <v>38.733590733590731</v>
      </c>
    </row>
    <row r="35" spans="1:10" ht="21" customHeight="1" x14ac:dyDescent="0.2">
      <c r="A35" s="1918"/>
      <c r="B35" s="1917" t="s">
        <v>753</v>
      </c>
      <c r="C35" s="2296"/>
      <c r="D35" s="1893" t="s">
        <v>274</v>
      </c>
      <c r="E35" s="1914">
        <v>1</v>
      </c>
      <c r="F35" s="1914">
        <v>1</v>
      </c>
      <c r="G35" s="1899">
        <f t="shared" si="2"/>
        <v>100</v>
      </c>
      <c r="H35" s="1915">
        <v>25000</v>
      </c>
      <c r="I35" s="1899">
        <v>9600</v>
      </c>
      <c r="J35" s="1899">
        <f t="shared" ref="J35:J41" si="7">+I35/H35*100</f>
        <v>38.4</v>
      </c>
    </row>
    <row r="36" spans="1:10" ht="22.5" customHeight="1" x14ac:dyDescent="0.2">
      <c r="A36" s="1918"/>
      <c r="B36" s="2245" t="s">
        <v>870</v>
      </c>
      <c r="C36" s="2296"/>
      <c r="D36" s="1893" t="s">
        <v>758</v>
      </c>
      <c r="E36" s="1914">
        <v>6</v>
      </c>
      <c r="F36" s="1914">
        <v>6</v>
      </c>
      <c r="G36" s="1899">
        <f t="shared" si="2"/>
        <v>100</v>
      </c>
      <c r="H36" s="1907">
        <v>795</v>
      </c>
      <c r="I36" s="1899">
        <v>350</v>
      </c>
      <c r="J36" s="1899">
        <f t="shared" si="7"/>
        <v>44.025157232704402</v>
      </c>
    </row>
    <row r="37" spans="1:10" ht="21" customHeight="1" x14ac:dyDescent="0.2">
      <c r="A37" s="1918"/>
      <c r="B37" s="2245" t="s">
        <v>769</v>
      </c>
      <c r="C37" s="2297"/>
      <c r="D37" s="1893" t="s">
        <v>415</v>
      </c>
      <c r="E37" s="1914">
        <v>5</v>
      </c>
      <c r="F37" s="1914">
        <v>4</v>
      </c>
      <c r="G37" s="1899">
        <f t="shared" si="2"/>
        <v>80</v>
      </c>
      <c r="H37" s="1907">
        <v>105</v>
      </c>
      <c r="I37" s="1899">
        <v>82</v>
      </c>
      <c r="J37" s="1899">
        <f t="shared" si="7"/>
        <v>78.095238095238102</v>
      </c>
    </row>
    <row r="38" spans="1:10" ht="25.5" x14ac:dyDescent="0.2">
      <c r="A38" s="2246">
        <v>6</v>
      </c>
      <c r="B38" s="1913" t="s">
        <v>770</v>
      </c>
      <c r="C38" s="2298" t="s">
        <v>350</v>
      </c>
      <c r="D38" s="1893" t="s">
        <v>166</v>
      </c>
      <c r="E38" s="1914">
        <v>8</v>
      </c>
      <c r="F38" s="1914">
        <v>3</v>
      </c>
      <c r="G38" s="1899">
        <f t="shared" si="2"/>
        <v>37.5</v>
      </c>
      <c r="H38" s="1916">
        <f>+SUM(H39:H41)</f>
        <v>25899</v>
      </c>
      <c r="I38" s="1890">
        <f>+SUM(I39:I41)</f>
        <v>3425.81</v>
      </c>
      <c r="J38" s="1890">
        <f>+I38/H38*100</f>
        <v>13.227576354299394</v>
      </c>
    </row>
    <row r="39" spans="1:10" ht="18" customHeight="1" x14ac:dyDescent="0.2">
      <c r="A39" s="1918"/>
      <c r="B39" s="1917" t="s">
        <v>753</v>
      </c>
      <c r="C39" s="2299"/>
      <c r="D39" s="1893" t="s">
        <v>274</v>
      </c>
      <c r="E39" s="1914">
        <v>1</v>
      </c>
      <c r="F39" s="1914">
        <v>1</v>
      </c>
      <c r="G39" s="1899">
        <f t="shared" si="2"/>
        <v>100</v>
      </c>
      <c r="H39" s="1915">
        <v>25000</v>
      </c>
      <c r="I39" s="1919">
        <v>3425.81</v>
      </c>
      <c r="J39" s="1899">
        <f t="shared" si="7"/>
        <v>13.703239999999999</v>
      </c>
    </row>
    <row r="40" spans="1:10" ht="18.75" customHeight="1" x14ac:dyDescent="0.2">
      <c r="A40" s="1918"/>
      <c r="B40" s="1917" t="s">
        <v>771</v>
      </c>
      <c r="C40" s="2299"/>
      <c r="D40" s="1893" t="s">
        <v>99</v>
      </c>
      <c r="E40" s="1914">
        <v>5</v>
      </c>
      <c r="F40" s="1903">
        <v>0</v>
      </c>
      <c r="G40" s="1899">
        <f t="shared" si="2"/>
        <v>0</v>
      </c>
      <c r="H40" s="1907">
        <v>104</v>
      </c>
      <c r="I40" s="1919"/>
      <c r="J40" s="1899">
        <f t="shared" si="7"/>
        <v>0</v>
      </c>
    </row>
    <row r="41" spans="1:10" ht="27" customHeight="1" x14ac:dyDescent="0.2">
      <c r="A41" s="1921"/>
      <c r="B41" s="2243" t="s">
        <v>772</v>
      </c>
      <c r="C41" s="2300"/>
      <c r="D41" s="2241" t="s">
        <v>166</v>
      </c>
      <c r="E41" s="1922">
        <v>4</v>
      </c>
      <c r="F41" s="1914"/>
      <c r="G41" s="1899"/>
      <c r="H41" s="1923">
        <v>795</v>
      </c>
      <c r="I41" s="1924">
        <v>0</v>
      </c>
      <c r="J41" s="1899">
        <f t="shared" si="7"/>
        <v>0</v>
      </c>
    </row>
    <row r="42" spans="1:10" ht="21.75" customHeight="1" x14ac:dyDescent="0.2">
      <c r="A42" s="2246">
        <v>7</v>
      </c>
      <c r="B42" s="1925" t="s">
        <v>779</v>
      </c>
      <c r="C42" s="1893" t="s">
        <v>37</v>
      </c>
      <c r="D42" s="1893" t="s">
        <v>485</v>
      </c>
      <c r="E42" s="1914">
        <v>5</v>
      </c>
      <c r="F42" s="1914">
        <v>5</v>
      </c>
      <c r="G42" s="1899"/>
      <c r="H42" s="1916">
        <v>106638</v>
      </c>
      <c r="I42" s="1890">
        <v>53906.13</v>
      </c>
      <c r="J42" s="1890">
        <f t="shared" ref="J42:J48" si="8">+I42/H42*100</f>
        <v>50.550582344004944</v>
      </c>
    </row>
    <row r="43" spans="1:10" ht="19.5" customHeight="1" x14ac:dyDescent="0.2">
      <c r="A43" s="1926"/>
      <c r="B43" s="1927" t="s">
        <v>940</v>
      </c>
      <c r="C43" s="1928"/>
      <c r="D43" s="1928"/>
      <c r="E43" s="1929"/>
      <c r="F43" s="1929"/>
      <c r="G43" s="1930"/>
      <c r="H43" s="1931">
        <f>+H44+H50+H54+H58</f>
        <v>250666</v>
      </c>
      <c r="I43" s="2250">
        <f>+I44+I50+I54+I58</f>
        <v>87287.38</v>
      </c>
      <c r="J43" s="1932">
        <f t="shared" si="8"/>
        <v>34.822185697302388</v>
      </c>
    </row>
    <row r="44" spans="1:10" ht="16.5" customHeight="1" x14ac:dyDescent="0.2">
      <c r="A44" s="1926"/>
      <c r="B44" s="1933" t="s">
        <v>939</v>
      </c>
      <c r="C44" s="1934"/>
      <c r="D44" s="1934"/>
      <c r="E44" s="1935"/>
      <c r="F44" s="1935"/>
      <c r="G44" s="1936"/>
      <c r="H44" s="1937">
        <f>SUM(H45:H49)</f>
        <v>40000</v>
      </c>
      <c r="I44" s="1938">
        <f>SUM(I45:I49)</f>
        <v>5000.38</v>
      </c>
      <c r="J44" s="1938">
        <f t="shared" si="8"/>
        <v>12.50095</v>
      </c>
    </row>
    <row r="45" spans="1:10" ht="21.75" customHeight="1" x14ac:dyDescent="0.2">
      <c r="A45" s="2246">
        <v>1</v>
      </c>
      <c r="B45" s="2245" t="s">
        <v>881</v>
      </c>
      <c r="C45" s="1939" t="s">
        <v>37</v>
      </c>
      <c r="D45" s="1939" t="s">
        <v>882</v>
      </c>
      <c r="E45" s="1940">
        <v>360</v>
      </c>
      <c r="F45" s="1940">
        <v>136</v>
      </c>
      <c r="G45" s="1941">
        <f>+F45/E45*100</f>
        <v>37.777777777777779</v>
      </c>
      <c r="H45" s="1940">
        <v>2000</v>
      </c>
      <c r="I45" s="1942">
        <v>1000.12</v>
      </c>
      <c r="J45" s="1938">
        <f t="shared" si="8"/>
        <v>50.005999999999993</v>
      </c>
    </row>
    <row r="46" spans="1:10" ht="21.75" customHeight="1" x14ac:dyDescent="0.2">
      <c r="A46" s="2246">
        <v>2</v>
      </c>
      <c r="B46" s="2245" t="s">
        <v>883</v>
      </c>
      <c r="C46" s="1939" t="s">
        <v>37</v>
      </c>
      <c r="D46" s="1939" t="s">
        <v>884</v>
      </c>
      <c r="E46" s="1940">
        <v>2</v>
      </c>
      <c r="F46" s="1940">
        <v>2</v>
      </c>
      <c r="G46" s="1941">
        <f t="shared" ref="G46:G58" si="9">+F46/E46*100</f>
        <v>100</v>
      </c>
      <c r="H46" s="1940">
        <v>11000</v>
      </c>
      <c r="I46" s="1942">
        <v>1000.13</v>
      </c>
      <c r="J46" s="1938">
        <f t="shared" si="8"/>
        <v>9.0920909090909099</v>
      </c>
    </row>
    <row r="47" spans="1:10" ht="21.75" customHeight="1" x14ac:dyDescent="0.2">
      <c r="A47" s="2246">
        <v>3</v>
      </c>
      <c r="B47" s="2245" t="s">
        <v>885</v>
      </c>
      <c r="C47" s="1939" t="s">
        <v>37</v>
      </c>
      <c r="D47" s="1939" t="s">
        <v>884</v>
      </c>
      <c r="E47" s="1940">
        <v>2</v>
      </c>
      <c r="F47" s="1942">
        <v>6.3E-2</v>
      </c>
      <c r="G47" s="1941">
        <f t="shared" si="9"/>
        <v>3.15</v>
      </c>
      <c r="H47" s="1940">
        <v>16000</v>
      </c>
      <c r="I47" s="1942">
        <v>1000.13</v>
      </c>
      <c r="J47" s="1938">
        <f t="shared" si="8"/>
        <v>6.2508124999999994</v>
      </c>
    </row>
    <row r="48" spans="1:10" ht="21.75" customHeight="1" x14ac:dyDescent="0.2">
      <c r="A48" s="2246">
        <v>4</v>
      </c>
      <c r="B48" s="2245" t="s">
        <v>887</v>
      </c>
      <c r="C48" s="1939" t="s">
        <v>37</v>
      </c>
      <c r="D48" s="1939" t="s">
        <v>38</v>
      </c>
      <c r="E48" s="1940">
        <v>2</v>
      </c>
      <c r="F48" s="1940">
        <v>4</v>
      </c>
      <c r="G48" s="1941">
        <f t="shared" si="9"/>
        <v>200</v>
      </c>
      <c r="H48" s="1940">
        <v>11000</v>
      </c>
      <c r="I48" s="1942">
        <v>2000</v>
      </c>
      <c r="J48" s="1938">
        <f t="shared" si="8"/>
        <v>18.181818181818183</v>
      </c>
    </row>
    <row r="49" spans="1:10" ht="21.75" customHeight="1" x14ac:dyDescent="0.2">
      <c r="A49" s="2246">
        <v>5</v>
      </c>
      <c r="B49" s="2245" t="s">
        <v>888</v>
      </c>
      <c r="C49" s="1939" t="s">
        <v>37</v>
      </c>
      <c r="D49" s="1939" t="s">
        <v>67</v>
      </c>
      <c r="E49" s="1940">
        <v>1</v>
      </c>
      <c r="F49" s="1940" t="s">
        <v>886</v>
      </c>
      <c r="G49" s="1941">
        <v>0</v>
      </c>
      <c r="H49" s="1940">
        <v>0</v>
      </c>
      <c r="I49" s="1942"/>
      <c r="J49" s="1938"/>
    </row>
    <row r="50" spans="1:10" ht="18" customHeight="1" x14ac:dyDescent="0.2">
      <c r="A50" s="1878">
        <v>6</v>
      </c>
      <c r="B50" s="1933" t="s">
        <v>889</v>
      </c>
      <c r="C50" s="1881"/>
      <c r="D50" s="1881"/>
      <c r="E50" s="1943"/>
      <c r="F50" s="1943"/>
      <c r="G50" s="1944"/>
      <c r="H50" s="1937">
        <f>SUM(H51:H53)</f>
        <v>23000</v>
      </c>
      <c r="I50" s="1938">
        <f>SUM(I51:I53)</f>
        <v>5000</v>
      </c>
      <c r="J50" s="1938">
        <f t="shared" ref="J50:J61" si="10">+I50/H50*100</f>
        <v>21.739130434782609</v>
      </c>
    </row>
    <row r="51" spans="1:10" ht="21.75" customHeight="1" x14ac:dyDescent="0.2">
      <c r="A51" s="2244">
        <v>6.1</v>
      </c>
      <c r="B51" s="2245" t="s">
        <v>890</v>
      </c>
      <c r="C51" s="1939" t="s">
        <v>37</v>
      </c>
      <c r="D51" s="1945" t="s">
        <v>891</v>
      </c>
      <c r="E51" s="1940">
        <v>2</v>
      </c>
      <c r="F51" s="1940" t="s">
        <v>886</v>
      </c>
      <c r="G51" s="1941">
        <v>0</v>
      </c>
      <c r="H51" s="1940">
        <v>6000</v>
      </c>
      <c r="I51" s="1946">
        <v>0</v>
      </c>
      <c r="J51" s="1947">
        <f t="shared" si="10"/>
        <v>0</v>
      </c>
    </row>
    <row r="52" spans="1:10" ht="21.75" customHeight="1" x14ac:dyDescent="0.2">
      <c r="A52" s="2244">
        <v>6.2</v>
      </c>
      <c r="B52" s="2245" t="s">
        <v>892</v>
      </c>
      <c r="C52" s="1939" t="s">
        <v>37</v>
      </c>
      <c r="D52" s="1945" t="s">
        <v>891</v>
      </c>
      <c r="E52" s="1940">
        <v>1200</v>
      </c>
      <c r="F52" s="1940">
        <v>600</v>
      </c>
      <c r="G52" s="1941">
        <f t="shared" si="9"/>
        <v>50</v>
      </c>
      <c r="H52" s="1940">
        <v>13000</v>
      </c>
      <c r="I52" s="1942">
        <v>3000</v>
      </c>
      <c r="J52" s="1947">
        <f t="shared" si="10"/>
        <v>23.076923076923077</v>
      </c>
    </row>
    <row r="53" spans="1:10" ht="21.75" customHeight="1" x14ac:dyDescent="0.2">
      <c r="A53" s="2244">
        <v>6.3</v>
      </c>
      <c r="B53" s="2245" t="s">
        <v>893</v>
      </c>
      <c r="C53" s="1939" t="s">
        <v>37</v>
      </c>
      <c r="D53" s="1945" t="s">
        <v>891</v>
      </c>
      <c r="E53" s="1940">
        <v>12</v>
      </c>
      <c r="F53" s="1940">
        <v>6</v>
      </c>
      <c r="G53" s="1941">
        <f t="shared" si="9"/>
        <v>50</v>
      </c>
      <c r="H53" s="1940">
        <v>4000</v>
      </c>
      <c r="I53" s="1942">
        <v>2000</v>
      </c>
      <c r="J53" s="1947">
        <f t="shared" si="10"/>
        <v>50</v>
      </c>
    </row>
    <row r="54" spans="1:10" ht="21.75" customHeight="1" x14ac:dyDescent="0.2">
      <c r="A54" s="1878">
        <v>7</v>
      </c>
      <c r="B54" s="1933" t="s">
        <v>894</v>
      </c>
      <c r="C54" s="1881"/>
      <c r="D54" s="1881"/>
      <c r="E54" s="1943"/>
      <c r="F54" s="1943"/>
      <c r="G54" s="1944"/>
      <c r="H54" s="1937">
        <f>SUM(H55:H57)</f>
        <v>40572</v>
      </c>
      <c r="I54" s="1938">
        <f>SUM(I55:I57)</f>
        <v>4476</v>
      </c>
      <c r="J54" s="1938">
        <f t="shared" si="10"/>
        <v>11.032238982549542</v>
      </c>
    </row>
    <row r="55" spans="1:10" ht="21.75" customHeight="1" x14ac:dyDescent="0.2">
      <c r="A55" s="2244">
        <v>7.1</v>
      </c>
      <c r="B55" s="2245" t="s">
        <v>895</v>
      </c>
      <c r="C55" s="1939" t="s">
        <v>37</v>
      </c>
      <c r="D55" s="1945" t="s">
        <v>891</v>
      </c>
      <c r="E55" s="1940">
        <v>460</v>
      </c>
      <c r="F55" s="1940">
        <v>224</v>
      </c>
      <c r="G55" s="1941">
        <f t="shared" si="9"/>
        <v>48.695652173913047</v>
      </c>
      <c r="H55" s="1940">
        <v>9000</v>
      </c>
      <c r="I55" s="1942">
        <v>1000</v>
      </c>
      <c r="J55" s="1947">
        <f t="shared" si="10"/>
        <v>11.111111111111111</v>
      </c>
    </row>
    <row r="56" spans="1:10" ht="21.75" customHeight="1" x14ac:dyDescent="0.2">
      <c r="A56" s="2244">
        <v>7.2</v>
      </c>
      <c r="B56" s="2245" t="s">
        <v>896</v>
      </c>
      <c r="C56" s="1939" t="s">
        <v>37</v>
      </c>
      <c r="D56" s="1945" t="s">
        <v>891</v>
      </c>
      <c r="E56" s="1940">
        <v>36</v>
      </c>
      <c r="F56" s="1940">
        <v>16</v>
      </c>
      <c r="G56" s="1941">
        <f t="shared" si="9"/>
        <v>44.444444444444443</v>
      </c>
      <c r="H56" s="1940">
        <v>4000</v>
      </c>
      <c r="I56" s="1942">
        <v>476</v>
      </c>
      <c r="J56" s="1947">
        <f t="shared" si="10"/>
        <v>11.899999999999999</v>
      </c>
    </row>
    <row r="57" spans="1:10" ht="21.75" customHeight="1" x14ac:dyDescent="0.2">
      <c r="A57" s="2244">
        <v>7.3</v>
      </c>
      <c r="B57" s="2245" t="s">
        <v>897</v>
      </c>
      <c r="C57" s="1939" t="s">
        <v>37</v>
      </c>
      <c r="D57" s="1945" t="s">
        <v>891</v>
      </c>
      <c r="E57" s="1940">
        <v>200</v>
      </c>
      <c r="F57" s="1940">
        <v>60</v>
      </c>
      <c r="G57" s="1941">
        <f t="shared" si="9"/>
        <v>30</v>
      </c>
      <c r="H57" s="1940">
        <v>27572</v>
      </c>
      <c r="I57" s="1942">
        <v>3000</v>
      </c>
      <c r="J57" s="1947">
        <f t="shared" si="10"/>
        <v>10.880603510808067</v>
      </c>
    </row>
    <row r="58" spans="1:10" ht="54" customHeight="1" x14ac:dyDescent="0.2">
      <c r="A58" s="1917">
        <v>8</v>
      </c>
      <c r="B58" s="1948" t="s">
        <v>564</v>
      </c>
      <c r="C58" s="1939" t="s">
        <v>37</v>
      </c>
      <c r="D58" s="1945" t="s">
        <v>485</v>
      </c>
      <c r="E58" s="1940">
        <v>3</v>
      </c>
      <c r="F58" s="1940">
        <v>3</v>
      </c>
      <c r="G58" s="1941">
        <f t="shared" si="9"/>
        <v>100</v>
      </c>
      <c r="H58" s="1907">
        <v>147094</v>
      </c>
      <c r="I58" s="1906">
        <v>72811</v>
      </c>
      <c r="J58" s="1947">
        <f t="shared" si="10"/>
        <v>49.499639686187066</v>
      </c>
    </row>
    <row r="59" spans="1:10" ht="21.75" customHeight="1" x14ac:dyDescent="0.2">
      <c r="A59" s="1949" t="s">
        <v>925</v>
      </c>
      <c r="B59" s="1948"/>
      <c r="C59" s="1939"/>
      <c r="D59" s="1945"/>
      <c r="E59" s="1940"/>
      <c r="F59" s="1940"/>
      <c r="G59" s="1941"/>
      <c r="H59" s="1931">
        <f>+H60+H85</f>
        <v>798732450.28999996</v>
      </c>
      <c r="I59" s="1950">
        <f>+I60+I85</f>
        <v>361184485.95000005</v>
      </c>
      <c r="J59" s="1932">
        <f t="shared" si="10"/>
        <v>45.219708529290742</v>
      </c>
    </row>
    <row r="60" spans="1:10" ht="21.75" customHeight="1" x14ac:dyDescent="0.2">
      <c r="A60" s="1951"/>
      <c r="B60" s="1879" t="s">
        <v>56</v>
      </c>
      <c r="C60" s="1949"/>
      <c r="D60" s="1952"/>
      <c r="E60" s="1874"/>
      <c r="F60" s="1953"/>
      <c r="G60" s="1953"/>
      <c r="H60" s="2251">
        <f>SUM(H61:H84)</f>
        <v>30998829</v>
      </c>
      <c r="I60" s="1938">
        <f>SUM(I61:I84)</f>
        <v>13381635.719999999</v>
      </c>
      <c r="J60" s="1938">
        <f t="shared" si="10"/>
        <v>43.168197482556515</v>
      </c>
    </row>
    <row r="61" spans="1:10" ht="25.5" x14ac:dyDescent="0.2">
      <c r="A61" s="2246">
        <v>1</v>
      </c>
      <c r="B61" s="2245" t="s">
        <v>36</v>
      </c>
      <c r="C61" s="1939" t="s">
        <v>32</v>
      </c>
      <c r="D61" s="1954" t="s">
        <v>38</v>
      </c>
      <c r="E61" s="1940">
        <v>1851</v>
      </c>
      <c r="F61" s="1955">
        <v>786</v>
      </c>
      <c r="G61" s="1956">
        <f>+F61/E61*100</f>
        <v>42.463533225283626</v>
      </c>
      <c r="H61" s="1946">
        <v>1449581</v>
      </c>
      <c r="I61" s="1947">
        <v>597448.30000000005</v>
      </c>
      <c r="J61" s="1957">
        <f t="shared" si="10"/>
        <v>41.215240817863922</v>
      </c>
    </row>
    <row r="62" spans="1:10" ht="25.5" x14ac:dyDescent="0.2">
      <c r="A62" s="2246">
        <f>+A61+1</f>
        <v>2</v>
      </c>
      <c r="B62" s="1958" t="s">
        <v>39</v>
      </c>
      <c r="C62" s="1939" t="s">
        <v>32</v>
      </c>
      <c r="D62" s="1954" t="s">
        <v>66</v>
      </c>
      <c r="E62" s="1940">
        <v>91</v>
      </c>
      <c r="F62" s="1955"/>
      <c r="G62" s="1956">
        <f t="shared" ref="G62:G84" si="11">+F62/E62*100</f>
        <v>0</v>
      </c>
      <c r="H62" s="1946">
        <v>587</v>
      </c>
      <c r="I62" s="1947">
        <v>0</v>
      </c>
      <c r="J62" s="1957"/>
    </row>
    <row r="63" spans="1:10" ht="21.75" customHeight="1" x14ac:dyDescent="0.2">
      <c r="A63" s="2246">
        <v>3</v>
      </c>
      <c r="B63" s="1958" t="s">
        <v>40</v>
      </c>
      <c r="C63" s="1939" t="s">
        <v>32</v>
      </c>
      <c r="D63" s="1954" t="s">
        <v>111</v>
      </c>
      <c r="E63" s="1940">
        <v>12</v>
      </c>
      <c r="F63" s="1955">
        <v>4</v>
      </c>
      <c r="G63" s="1956">
        <f t="shared" si="11"/>
        <v>33.333333333333329</v>
      </c>
      <c r="H63" s="1915">
        <v>686042</v>
      </c>
      <c r="I63" s="1899">
        <v>224682.6</v>
      </c>
      <c r="J63" s="1957">
        <f t="shared" ref="J63:J84" si="12">+I63/H63*100</f>
        <v>32.750560461312865</v>
      </c>
    </row>
    <row r="64" spans="1:10" ht="25.5" x14ac:dyDescent="0.2">
      <c r="A64" s="2246">
        <f t="shared" ref="A64:A84" si="13">+A63+1</f>
        <v>4</v>
      </c>
      <c r="B64" s="1958" t="s">
        <v>871</v>
      </c>
      <c r="C64" s="1939" t="s">
        <v>32</v>
      </c>
      <c r="D64" s="1954" t="s">
        <v>57</v>
      </c>
      <c r="E64" s="1940">
        <v>1</v>
      </c>
      <c r="F64" s="1955">
        <v>0</v>
      </c>
      <c r="G64" s="1956">
        <f t="shared" si="11"/>
        <v>0</v>
      </c>
      <c r="H64" s="1915">
        <v>7901</v>
      </c>
      <c r="I64" s="1899">
        <v>0</v>
      </c>
      <c r="J64" s="1957">
        <f t="shared" si="12"/>
        <v>0</v>
      </c>
    </row>
    <row r="65" spans="1:10" ht="25.5" x14ac:dyDescent="0.2">
      <c r="A65" s="2246">
        <f t="shared" si="13"/>
        <v>5</v>
      </c>
      <c r="B65" s="1958" t="s">
        <v>872</v>
      </c>
      <c r="C65" s="1939" t="s">
        <v>32</v>
      </c>
      <c r="D65" s="1954" t="s">
        <v>57</v>
      </c>
      <c r="E65" s="1940">
        <v>2560</v>
      </c>
      <c r="F65" s="1955"/>
      <c r="G65" s="1956">
        <f t="shared" si="11"/>
        <v>0</v>
      </c>
      <c r="H65" s="1915">
        <v>80000</v>
      </c>
      <c r="I65" s="1899">
        <v>0</v>
      </c>
      <c r="J65" s="1957">
        <f t="shared" si="12"/>
        <v>0</v>
      </c>
    </row>
    <row r="66" spans="1:10" ht="25.5" x14ac:dyDescent="0.2">
      <c r="A66" s="2246">
        <f t="shared" si="13"/>
        <v>6</v>
      </c>
      <c r="B66" s="1958" t="s">
        <v>872</v>
      </c>
      <c r="C66" s="1939" t="s">
        <v>32</v>
      </c>
      <c r="D66" s="1954" t="s">
        <v>57</v>
      </c>
      <c r="E66" s="1940">
        <v>1</v>
      </c>
      <c r="F66" s="1955"/>
      <c r="G66" s="1956">
        <f t="shared" si="11"/>
        <v>0</v>
      </c>
      <c r="H66" s="1915">
        <v>9414</v>
      </c>
      <c r="I66" s="1899"/>
      <c r="J66" s="1957"/>
    </row>
    <row r="67" spans="1:10" ht="25.5" x14ac:dyDescent="0.2">
      <c r="A67" s="2246">
        <f t="shared" si="13"/>
        <v>7</v>
      </c>
      <c r="B67" s="1958" t="s">
        <v>782</v>
      </c>
      <c r="C67" s="1939" t="s">
        <v>32</v>
      </c>
      <c r="D67" s="1954" t="s">
        <v>57</v>
      </c>
      <c r="E67" s="1940">
        <v>79</v>
      </c>
      <c r="F67" s="1955">
        <v>27</v>
      </c>
      <c r="G67" s="1956">
        <f t="shared" si="11"/>
        <v>34.177215189873415</v>
      </c>
      <c r="H67" s="1915">
        <v>10838</v>
      </c>
      <c r="I67" s="1899">
        <v>3744.17</v>
      </c>
      <c r="J67" s="1957">
        <f t="shared" si="12"/>
        <v>34.546687580734456</v>
      </c>
    </row>
    <row r="68" spans="1:10" ht="25.5" x14ac:dyDescent="0.2">
      <c r="A68" s="2246">
        <f t="shared" si="13"/>
        <v>8</v>
      </c>
      <c r="B68" s="1958" t="s">
        <v>873</v>
      </c>
      <c r="C68" s="1939" t="s">
        <v>32</v>
      </c>
      <c r="D68" s="1954" t="s">
        <v>57</v>
      </c>
      <c r="E68" s="1940">
        <v>489</v>
      </c>
      <c r="F68" s="1955">
        <v>105</v>
      </c>
      <c r="G68" s="1956">
        <f t="shared" si="11"/>
        <v>21.472392638036812</v>
      </c>
      <c r="H68" s="1915">
        <v>109660</v>
      </c>
      <c r="I68" s="1899">
        <v>23477.599999999999</v>
      </c>
      <c r="J68" s="1957">
        <f t="shared" si="12"/>
        <v>21.409447382819625</v>
      </c>
    </row>
    <row r="69" spans="1:10" ht="21.75" customHeight="1" x14ac:dyDescent="0.2">
      <c r="A69" s="2246">
        <f t="shared" si="13"/>
        <v>9</v>
      </c>
      <c r="B69" s="1958" t="s">
        <v>874</v>
      </c>
      <c r="C69" s="1939" t="s">
        <v>37</v>
      </c>
      <c r="D69" s="1954" t="s">
        <v>63</v>
      </c>
      <c r="E69" s="1940">
        <v>5</v>
      </c>
      <c r="F69" s="1955">
        <v>5</v>
      </c>
      <c r="G69" s="1956">
        <f t="shared" si="11"/>
        <v>100</v>
      </c>
      <c r="H69" s="1915">
        <v>1072280</v>
      </c>
      <c r="I69" s="1899">
        <v>210008.35</v>
      </c>
      <c r="J69" s="1957">
        <f t="shared" si="12"/>
        <v>19.585215615324355</v>
      </c>
    </row>
    <row r="70" spans="1:10" ht="25.5" x14ac:dyDescent="0.2">
      <c r="A70" s="2246">
        <f t="shared" si="13"/>
        <v>10</v>
      </c>
      <c r="B70" s="1958" t="s">
        <v>42</v>
      </c>
      <c r="C70" s="1939" t="s">
        <v>32</v>
      </c>
      <c r="D70" s="1954" t="s">
        <v>43</v>
      </c>
      <c r="E70" s="1940">
        <v>13</v>
      </c>
      <c r="F70" s="1955">
        <v>13</v>
      </c>
      <c r="G70" s="1956">
        <f t="shared" si="11"/>
        <v>100</v>
      </c>
      <c r="H70" s="1959">
        <v>289224</v>
      </c>
      <c r="I70" s="1906">
        <v>64553.45</v>
      </c>
      <c r="J70" s="1957">
        <f t="shared" si="12"/>
        <v>22.319534340165408</v>
      </c>
    </row>
    <row r="71" spans="1:10" ht="25.5" x14ac:dyDescent="0.2">
      <c r="A71" s="2246">
        <f t="shared" si="13"/>
        <v>11</v>
      </c>
      <c r="B71" s="1958" t="s">
        <v>44</v>
      </c>
      <c r="C71" s="1939" t="s">
        <v>32</v>
      </c>
      <c r="D71" s="1954" t="s">
        <v>43</v>
      </c>
      <c r="E71" s="1940">
        <v>6</v>
      </c>
      <c r="F71" s="1955">
        <v>2</v>
      </c>
      <c r="G71" s="1956">
        <f t="shared" si="11"/>
        <v>33.333333333333329</v>
      </c>
      <c r="H71" s="1959">
        <v>135721</v>
      </c>
      <c r="I71" s="1906">
        <v>36092.839999999997</v>
      </c>
      <c r="J71" s="1957">
        <f t="shared" si="12"/>
        <v>26.593408536630292</v>
      </c>
    </row>
    <row r="72" spans="1:10" ht="21.75" customHeight="1" x14ac:dyDescent="0.2">
      <c r="A72" s="2246">
        <f t="shared" si="13"/>
        <v>12</v>
      </c>
      <c r="B72" s="1958" t="s">
        <v>45</v>
      </c>
      <c r="C72" s="1939" t="s">
        <v>32</v>
      </c>
      <c r="D72" s="1954" t="s">
        <v>46</v>
      </c>
      <c r="E72" s="1940">
        <v>89</v>
      </c>
      <c r="F72" s="1955">
        <v>51</v>
      </c>
      <c r="G72" s="1956">
        <f t="shared" si="11"/>
        <v>57.303370786516851</v>
      </c>
      <c r="H72" s="1959">
        <v>384200</v>
      </c>
      <c r="I72" s="1906">
        <v>220413.38</v>
      </c>
      <c r="J72" s="1957">
        <f t="shared" si="12"/>
        <v>57.36943779281625</v>
      </c>
    </row>
    <row r="73" spans="1:10" ht="25.5" x14ac:dyDescent="0.2">
      <c r="A73" s="2246">
        <f t="shared" si="13"/>
        <v>13</v>
      </c>
      <c r="B73" s="1958" t="s">
        <v>47</v>
      </c>
      <c r="C73" s="1939" t="s">
        <v>32</v>
      </c>
      <c r="D73" s="1954" t="s">
        <v>46</v>
      </c>
      <c r="E73" s="1940">
        <v>3</v>
      </c>
      <c r="F73" s="1955"/>
      <c r="G73" s="1956">
        <f t="shared" si="11"/>
        <v>0</v>
      </c>
      <c r="H73" s="1959">
        <v>11163</v>
      </c>
      <c r="I73" s="1906"/>
      <c r="J73" s="1957">
        <f t="shared" si="12"/>
        <v>0</v>
      </c>
    </row>
    <row r="74" spans="1:10" ht="25.5" x14ac:dyDescent="0.2">
      <c r="A74" s="2246">
        <f t="shared" si="13"/>
        <v>14</v>
      </c>
      <c r="B74" s="1958" t="s">
        <v>48</v>
      </c>
      <c r="C74" s="1939" t="s">
        <v>32</v>
      </c>
      <c r="D74" s="1954" t="s">
        <v>49</v>
      </c>
      <c r="E74" s="1940">
        <v>2133</v>
      </c>
      <c r="F74" s="1955">
        <v>790</v>
      </c>
      <c r="G74" s="1956">
        <f t="shared" si="11"/>
        <v>37.037037037037038</v>
      </c>
      <c r="H74" s="1959">
        <v>223530</v>
      </c>
      <c r="I74" s="1906">
        <v>82930.649999999994</v>
      </c>
      <c r="J74" s="1957">
        <f t="shared" si="12"/>
        <v>37.100456314588641</v>
      </c>
    </row>
    <row r="75" spans="1:10" ht="28.5" customHeight="1" x14ac:dyDescent="0.2">
      <c r="A75" s="2246">
        <f t="shared" si="13"/>
        <v>15</v>
      </c>
      <c r="B75" s="1958" t="s">
        <v>50</v>
      </c>
      <c r="C75" s="1939" t="s">
        <v>32</v>
      </c>
      <c r="D75" s="1954" t="s">
        <v>49</v>
      </c>
      <c r="E75" s="1915">
        <v>270</v>
      </c>
      <c r="F75" s="1960">
        <v>165</v>
      </c>
      <c r="G75" s="1956">
        <f t="shared" si="11"/>
        <v>61.111111111111114</v>
      </c>
      <c r="H75" s="1959">
        <v>73820</v>
      </c>
      <c r="I75" s="1906">
        <v>45000</v>
      </c>
      <c r="J75" s="1957">
        <f t="shared" si="12"/>
        <v>60.95908967759415</v>
      </c>
    </row>
    <row r="76" spans="1:10" ht="27.75" customHeight="1" x14ac:dyDescent="0.2">
      <c r="A76" s="2246">
        <f t="shared" si="13"/>
        <v>16</v>
      </c>
      <c r="B76" s="1958" t="s">
        <v>51</v>
      </c>
      <c r="C76" s="1939" t="s">
        <v>32</v>
      </c>
      <c r="D76" s="1954" t="s">
        <v>781</v>
      </c>
      <c r="E76" s="1940">
        <v>16</v>
      </c>
      <c r="F76" s="1955">
        <v>16</v>
      </c>
      <c r="G76" s="1956">
        <f t="shared" si="11"/>
        <v>100</v>
      </c>
      <c r="H76" s="1940">
        <v>10787930</v>
      </c>
      <c r="I76" s="1942">
        <v>4890832</v>
      </c>
      <c r="J76" s="1957">
        <f t="shared" si="12"/>
        <v>45.336148825585632</v>
      </c>
    </row>
    <row r="77" spans="1:10" ht="25.5" x14ac:dyDescent="0.2">
      <c r="A77" s="2246">
        <f t="shared" si="13"/>
        <v>17</v>
      </c>
      <c r="B77" s="1958" t="s">
        <v>52</v>
      </c>
      <c r="C77" s="1939" t="s">
        <v>32</v>
      </c>
      <c r="D77" s="1954" t="s">
        <v>781</v>
      </c>
      <c r="E77" s="1940">
        <v>16</v>
      </c>
      <c r="F77" s="1955">
        <v>16</v>
      </c>
      <c r="G77" s="1956">
        <f t="shared" si="11"/>
        <v>100</v>
      </c>
      <c r="H77" s="1940">
        <v>47200</v>
      </c>
      <c r="I77" s="1942">
        <v>29709</v>
      </c>
      <c r="J77" s="1957">
        <f t="shared" si="12"/>
        <v>62.942796610169495</v>
      </c>
    </row>
    <row r="78" spans="1:10" ht="21.75" customHeight="1" x14ac:dyDescent="0.2">
      <c r="A78" s="2246">
        <f t="shared" si="13"/>
        <v>18</v>
      </c>
      <c r="B78" s="1958" t="s">
        <v>53</v>
      </c>
      <c r="C78" s="1939" t="s">
        <v>37</v>
      </c>
      <c r="D78" s="1954" t="s">
        <v>38</v>
      </c>
      <c r="E78" s="1940">
        <v>120</v>
      </c>
      <c r="F78" s="1955">
        <v>120</v>
      </c>
      <c r="G78" s="1956">
        <f t="shared" si="11"/>
        <v>100</v>
      </c>
      <c r="H78" s="1940">
        <f>4388159-24497</f>
        <v>4363662</v>
      </c>
      <c r="I78" s="1942">
        <f>1851417.43+33279+29709</f>
        <v>1914405.43</v>
      </c>
      <c r="J78" s="1957">
        <f t="shared" si="12"/>
        <v>43.871533358908181</v>
      </c>
    </row>
    <row r="79" spans="1:10" ht="21.75" customHeight="1" x14ac:dyDescent="0.2">
      <c r="A79" s="2246">
        <f t="shared" si="13"/>
        <v>19</v>
      </c>
      <c r="B79" s="1958" t="s">
        <v>878</v>
      </c>
      <c r="C79" s="1939" t="s">
        <v>37</v>
      </c>
      <c r="D79" s="1954" t="s">
        <v>38</v>
      </c>
      <c r="E79" s="1940">
        <v>11</v>
      </c>
      <c r="F79" s="1955">
        <v>11</v>
      </c>
      <c r="G79" s="1956">
        <f t="shared" si="11"/>
        <v>100</v>
      </c>
      <c r="H79" s="1940">
        <v>410040</v>
      </c>
      <c r="I79" s="1942">
        <v>149327</v>
      </c>
      <c r="J79" s="1957">
        <f t="shared" si="12"/>
        <v>36.417666569115212</v>
      </c>
    </row>
    <row r="80" spans="1:10" ht="21.75" customHeight="1" x14ac:dyDescent="0.2">
      <c r="A80" s="2246">
        <f t="shared" si="13"/>
        <v>20</v>
      </c>
      <c r="B80" s="1958" t="s">
        <v>362</v>
      </c>
      <c r="C80" s="1939" t="s">
        <v>32</v>
      </c>
      <c r="D80" s="1954" t="s">
        <v>124</v>
      </c>
      <c r="E80" s="1940">
        <f>70+744+25+382+295+1919+60+459+30+61+225+575+194+117+2627</f>
        <v>7783</v>
      </c>
      <c r="F80" s="1955">
        <v>7783</v>
      </c>
      <c r="G80" s="1956">
        <f t="shared" si="11"/>
        <v>100</v>
      </c>
      <c r="H80" s="1940">
        <v>7812104</v>
      </c>
      <c r="I80" s="1942">
        <v>3755475.28</v>
      </c>
      <c r="J80" s="1957">
        <f t="shared" si="12"/>
        <v>48.072520283908148</v>
      </c>
    </row>
    <row r="81" spans="1:10" ht="21.75" customHeight="1" x14ac:dyDescent="0.2">
      <c r="A81" s="2246">
        <f t="shared" si="13"/>
        <v>21</v>
      </c>
      <c r="B81" s="1958" t="s">
        <v>372</v>
      </c>
      <c r="C81" s="1939" t="s">
        <v>37</v>
      </c>
      <c r="D81" s="1954" t="s">
        <v>124</v>
      </c>
      <c r="E81" s="1940">
        <v>103</v>
      </c>
      <c r="F81" s="1955">
        <v>103</v>
      </c>
      <c r="G81" s="1956">
        <f t="shared" si="11"/>
        <v>100</v>
      </c>
      <c r="H81" s="1940">
        <v>872847</v>
      </c>
      <c r="I81" s="1942">
        <v>384042.48</v>
      </c>
      <c r="J81" s="1957">
        <f t="shared" si="12"/>
        <v>43.998831410315894</v>
      </c>
    </row>
    <row r="82" spans="1:10" ht="21.75" customHeight="1" x14ac:dyDescent="0.2">
      <c r="A82" s="2246">
        <f t="shared" si="13"/>
        <v>22</v>
      </c>
      <c r="B82" s="1958" t="s">
        <v>64</v>
      </c>
      <c r="C82" s="1939" t="s">
        <v>37</v>
      </c>
      <c r="D82" s="1954" t="s">
        <v>63</v>
      </c>
      <c r="E82" s="1940">
        <v>1</v>
      </c>
      <c r="F82" s="1955">
        <v>0</v>
      </c>
      <c r="G82" s="1956">
        <v>0</v>
      </c>
      <c r="H82" s="1940">
        <v>10534</v>
      </c>
      <c r="I82" s="1942"/>
      <c r="J82" s="1957">
        <f t="shared" si="12"/>
        <v>0</v>
      </c>
    </row>
    <row r="83" spans="1:10" ht="20.25" customHeight="1" x14ac:dyDescent="0.2">
      <c r="A83" s="2246">
        <f t="shared" si="13"/>
        <v>23</v>
      </c>
      <c r="B83" s="1958" t="s">
        <v>54</v>
      </c>
      <c r="C83" s="1939" t="s">
        <v>37</v>
      </c>
      <c r="D83" s="1954" t="s">
        <v>363</v>
      </c>
      <c r="E83" s="1940">
        <v>12</v>
      </c>
      <c r="F83" s="1955">
        <v>12</v>
      </c>
      <c r="G83" s="1956">
        <f t="shared" si="11"/>
        <v>100</v>
      </c>
      <c r="H83" s="1940">
        <v>1372563</v>
      </c>
      <c r="I83" s="1942">
        <v>639327.18999999994</v>
      </c>
      <c r="J83" s="1957">
        <f t="shared" si="12"/>
        <v>46.57907797310579</v>
      </c>
    </row>
    <row r="84" spans="1:10" ht="24.75" customHeight="1" x14ac:dyDescent="0.2">
      <c r="A84" s="2246">
        <f t="shared" si="13"/>
        <v>24</v>
      </c>
      <c r="B84" s="1958" t="s">
        <v>783</v>
      </c>
      <c r="C84" s="1939" t="s">
        <v>37</v>
      </c>
      <c r="D84" s="1954" t="s">
        <v>63</v>
      </c>
      <c r="E84" s="1940">
        <v>4</v>
      </c>
      <c r="F84" s="1955">
        <v>4</v>
      </c>
      <c r="G84" s="1956">
        <f t="shared" si="11"/>
        <v>100</v>
      </c>
      <c r="H84" s="1940">
        <v>777988</v>
      </c>
      <c r="I84" s="1942">
        <v>110166</v>
      </c>
      <c r="J84" s="1957">
        <f t="shared" si="12"/>
        <v>14.160372653562781</v>
      </c>
    </row>
    <row r="85" spans="1:10" ht="24" customHeight="1" x14ac:dyDescent="0.2">
      <c r="A85" s="1961"/>
      <c r="B85" s="1927" t="s">
        <v>924</v>
      </c>
      <c r="C85" s="1962"/>
      <c r="D85" s="1962"/>
      <c r="E85" s="1963"/>
      <c r="F85" s="1909"/>
      <c r="G85" s="1909"/>
      <c r="H85" s="2252">
        <f>+H86</f>
        <v>767733621.28999996</v>
      </c>
      <c r="I85" s="1950">
        <f>+I86</f>
        <v>347802850.23000008</v>
      </c>
      <c r="J85" s="2253">
        <f>+I85/H85*100</f>
        <v>45.302542520620278</v>
      </c>
    </row>
    <row r="86" spans="1:10" ht="21.75" customHeight="1" x14ac:dyDescent="0.2">
      <c r="A86" s="2248"/>
      <c r="B86" s="1964" t="s">
        <v>784</v>
      </c>
      <c r="C86" s="1962"/>
      <c r="D86" s="1939"/>
      <c r="E86" s="1963"/>
      <c r="F86" s="1963"/>
      <c r="G86" s="1963"/>
      <c r="H86" s="1937">
        <f>+H87+H88+H89+H100+H102+H108+H114+H118+H123+H128+H132+H141+H145+H149+H153+H157+H161+H164+H165+H166+H171+H174+H177+H181+H185+H189+H193+H194+H195+H196+H199+H202+H205+H209+H212+H216+H219+H222+H226+H230+H232+H233+H237+H242+H243+H249+H250+H253+H254+H236+H101</f>
        <v>767733621.28999996</v>
      </c>
      <c r="I86" s="1965">
        <f>+I87+I88+I89+I100+I102+I108+I114+I118+I123+I128+I132+I141+I145+I149+I153+I157+I161+I164+I165+I166+I171+I174+I177+I181+I185+I189+I193+I194+I195+I196+I199+I202+I205+I209+I212+I216+I219+I222+I226+I230+I232+I233+I237+I242+I243+I249+I250+I253+I254+I236+I101</f>
        <v>347802850.23000008</v>
      </c>
      <c r="J86" s="1966">
        <f>+I86/H86*100</f>
        <v>45.302542520620278</v>
      </c>
    </row>
    <row r="87" spans="1:10" ht="21.75" customHeight="1" x14ac:dyDescent="0.2">
      <c r="A87" s="2246">
        <v>1</v>
      </c>
      <c r="B87" s="2245" t="s">
        <v>785</v>
      </c>
      <c r="C87" s="1893" t="s">
        <v>32</v>
      </c>
      <c r="D87" s="1954" t="s">
        <v>41</v>
      </c>
      <c r="E87" s="1940">
        <v>236</v>
      </c>
      <c r="F87" s="1940">
        <v>118</v>
      </c>
      <c r="G87" s="1956">
        <f t="shared" ref="G87:G150" si="14">+F87/E87*100</f>
        <v>50</v>
      </c>
      <c r="H87" s="1940">
        <v>911892</v>
      </c>
      <c r="I87" s="1942">
        <v>481673.95</v>
      </c>
      <c r="J87" s="1942">
        <v>52.821381260061493</v>
      </c>
    </row>
    <row r="88" spans="1:10" ht="25.5" x14ac:dyDescent="0.2">
      <c r="A88" s="2246">
        <v>2</v>
      </c>
      <c r="B88" s="2245" t="s">
        <v>786</v>
      </c>
      <c r="C88" s="1893" t="s">
        <v>32</v>
      </c>
      <c r="D88" s="1954" t="s">
        <v>57</v>
      </c>
      <c r="E88" s="1946">
        <v>12</v>
      </c>
      <c r="F88" s="1946">
        <v>6</v>
      </c>
      <c r="G88" s="1956">
        <f t="shared" si="14"/>
        <v>50</v>
      </c>
      <c r="H88" s="1940">
        <v>393724</v>
      </c>
      <c r="I88" s="1942">
        <v>187556.01</v>
      </c>
      <c r="J88" s="1942">
        <v>47.636417896800808</v>
      </c>
    </row>
    <row r="89" spans="1:10" ht="18.75" customHeight="1" x14ac:dyDescent="0.2">
      <c r="A89" s="2246">
        <v>3</v>
      </c>
      <c r="B89" s="1913" t="s">
        <v>58</v>
      </c>
      <c r="C89" s="1893"/>
      <c r="D89" s="1967"/>
      <c r="E89" s="1946"/>
      <c r="F89" s="1946"/>
      <c r="G89" s="1956"/>
      <c r="H89" s="1937">
        <f>SUM(H90:H99)</f>
        <v>25489307</v>
      </c>
      <c r="I89" s="1938">
        <f>SUM(I90:I99)</f>
        <v>10803448.35</v>
      </c>
      <c r="J89" s="1938">
        <v>42.384237241130172</v>
      </c>
    </row>
    <row r="90" spans="1:10" ht="25.5" x14ac:dyDescent="0.2">
      <c r="A90" s="2244">
        <v>3.1</v>
      </c>
      <c r="B90" s="2245" t="s">
        <v>787</v>
      </c>
      <c r="C90" s="1893" t="s">
        <v>32</v>
      </c>
      <c r="D90" s="1968" t="s">
        <v>788</v>
      </c>
      <c r="E90" s="1947">
        <v>4362</v>
      </c>
      <c r="F90" s="1947">
        <v>366.5</v>
      </c>
      <c r="G90" s="1956">
        <f t="shared" si="14"/>
        <v>8.4021091242549293</v>
      </c>
      <c r="H90" s="1940">
        <v>11214354</v>
      </c>
      <c r="I90" s="1942">
        <v>5068924.92</v>
      </c>
      <c r="J90" s="1942">
        <v>45.200329149588107</v>
      </c>
    </row>
    <row r="91" spans="1:10" ht="38.25" x14ac:dyDescent="0.2">
      <c r="A91" s="2244">
        <v>3.2</v>
      </c>
      <c r="B91" s="2245" t="s">
        <v>789</v>
      </c>
      <c r="C91" s="1969" t="s">
        <v>32</v>
      </c>
      <c r="D91" s="1945" t="s">
        <v>879</v>
      </c>
      <c r="E91" s="1940">
        <v>188</v>
      </c>
      <c r="F91" s="1940">
        <v>33</v>
      </c>
      <c r="G91" s="1956">
        <f t="shared" si="14"/>
        <v>17.553191489361701</v>
      </c>
      <c r="H91" s="1940">
        <v>780575</v>
      </c>
      <c r="I91" s="1942">
        <v>201290.84000000003</v>
      </c>
      <c r="J91" s="1942">
        <v>25.7875079268488</v>
      </c>
    </row>
    <row r="92" spans="1:10" ht="21.75" customHeight="1" x14ac:dyDescent="0.2">
      <c r="A92" s="2244">
        <v>3.3</v>
      </c>
      <c r="B92" s="2245" t="s">
        <v>790</v>
      </c>
      <c r="C92" s="1969" t="s">
        <v>32</v>
      </c>
      <c r="D92" s="1939" t="s">
        <v>41</v>
      </c>
      <c r="E92" s="1940">
        <v>95375</v>
      </c>
      <c r="F92" s="1940">
        <v>32695.5</v>
      </c>
      <c r="G92" s="1956">
        <f t="shared" si="14"/>
        <v>34.280996068152028</v>
      </c>
      <c r="H92" s="1940">
        <v>12342429</v>
      </c>
      <c r="I92" s="1942">
        <v>5322380.2799999993</v>
      </c>
      <c r="J92" s="1942">
        <v>43.122632344087208</v>
      </c>
    </row>
    <row r="93" spans="1:10" ht="21.75" customHeight="1" x14ac:dyDescent="0.2">
      <c r="A93" s="2244">
        <v>3.4</v>
      </c>
      <c r="B93" s="2245" t="s">
        <v>791</v>
      </c>
      <c r="C93" s="1969" t="s">
        <v>32</v>
      </c>
      <c r="D93" s="1939" t="s">
        <v>792</v>
      </c>
      <c r="E93" s="1940">
        <v>351</v>
      </c>
      <c r="F93" s="1940">
        <v>7</v>
      </c>
      <c r="G93" s="1956">
        <f t="shared" si="14"/>
        <v>1.9943019943019942</v>
      </c>
      <c r="H93" s="1940">
        <v>4000</v>
      </c>
      <c r="I93" s="1942">
        <v>0</v>
      </c>
      <c r="J93" s="1942">
        <v>0</v>
      </c>
    </row>
    <row r="94" spans="1:10" ht="21.75" customHeight="1" x14ac:dyDescent="0.2">
      <c r="A94" s="2244">
        <v>3.5</v>
      </c>
      <c r="B94" s="2245" t="s">
        <v>793</v>
      </c>
      <c r="C94" s="1969" t="s">
        <v>32</v>
      </c>
      <c r="D94" s="1939" t="s">
        <v>59</v>
      </c>
      <c r="E94" s="1940">
        <v>1347</v>
      </c>
      <c r="F94" s="1940">
        <v>606</v>
      </c>
      <c r="G94" s="1956">
        <f t="shared" si="14"/>
        <v>44.988864142538972</v>
      </c>
      <c r="H94" s="1940">
        <v>162202</v>
      </c>
      <c r="I94" s="1942">
        <v>60909.46</v>
      </c>
      <c r="J94" s="1942">
        <v>37.551608488181401</v>
      </c>
    </row>
    <row r="95" spans="1:10" ht="19.5" customHeight="1" x14ac:dyDescent="0.2">
      <c r="A95" s="2309">
        <v>3.6</v>
      </c>
      <c r="B95" s="2310" t="s">
        <v>794</v>
      </c>
      <c r="C95" s="1969" t="s">
        <v>32</v>
      </c>
      <c r="D95" s="1939" t="s">
        <v>795</v>
      </c>
      <c r="E95" s="1940">
        <v>2304</v>
      </c>
      <c r="F95" s="1940">
        <v>735</v>
      </c>
      <c r="G95" s="1956">
        <f t="shared" si="14"/>
        <v>31.901041666666668</v>
      </c>
      <c r="H95" s="1940">
        <v>153875</v>
      </c>
      <c r="I95" s="1942">
        <v>50009</v>
      </c>
      <c r="J95" s="1942">
        <v>32.49975629569456</v>
      </c>
    </row>
    <row r="96" spans="1:10" ht="18" customHeight="1" x14ac:dyDescent="0.2">
      <c r="A96" s="2309"/>
      <c r="B96" s="2310"/>
      <c r="C96" s="1969" t="s">
        <v>32</v>
      </c>
      <c r="D96" s="1939" t="s">
        <v>796</v>
      </c>
      <c r="E96" s="1940">
        <v>1304</v>
      </c>
      <c r="F96" s="1940">
        <v>229</v>
      </c>
      <c r="G96" s="1956">
        <f t="shared" si="14"/>
        <v>17.561349693251536</v>
      </c>
      <c r="H96" s="1940">
        <v>455797</v>
      </c>
      <c r="I96" s="1942">
        <v>3414.2</v>
      </c>
      <c r="J96" s="1942">
        <v>0.74906153397236042</v>
      </c>
    </row>
    <row r="97" spans="1:10" ht="21.75" customHeight="1" x14ac:dyDescent="0.2">
      <c r="A97" s="2244">
        <v>3.7</v>
      </c>
      <c r="B97" s="2245" t="s">
        <v>797</v>
      </c>
      <c r="C97" s="1969" t="s">
        <v>32</v>
      </c>
      <c r="D97" s="1939" t="s">
        <v>60</v>
      </c>
      <c r="E97" s="1940">
        <v>52</v>
      </c>
      <c r="F97" s="1940">
        <v>1547</v>
      </c>
      <c r="G97" s="1956">
        <f t="shared" si="14"/>
        <v>2975</v>
      </c>
      <c r="H97" s="1940">
        <v>67579</v>
      </c>
      <c r="I97" s="1942">
        <v>21959.5</v>
      </c>
      <c r="J97" s="1942">
        <v>32.494561920123118</v>
      </c>
    </row>
    <row r="98" spans="1:10" ht="21.75" customHeight="1" x14ac:dyDescent="0.2">
      <c r="A98" s="2244">
        <v>3.8</v>
      </c>
      <c r="B98" s="2245" t="s">
        <v>798</v>
      </c>
      <c r="C98" s="1969" t="s">
        <v>32</v>
      </c>
      <c r="D98" s="1939" t="s">
        <v>799</v>
      </c>
      <c r="E98" s="1940">
        <v>479</v>
      </c>
      <c r="F98" s="1940">
        <v>16</v>
      </c>
      <c r="G98" s="1956">
        <f t="shared" si="14"/>
        <v>3.3402922755741122</v>
      </c>
      <c r="H98" s="1940">
        <v>16700</v>
      </c>
      <c r="I98" s="1942">
        <v>3550</v>
      </c>
      <c r="J98" s="1942">
        <v>21.257485029940121</v>
      </c>
    </row>
    <row r="99" spans="1:10" ht="21.75" customHeight="1" x14ac:dyDescent="0.2">
      <c r="A99" s="2244">
        <v>3.9</v>
      </c>
      <c r="B99" s="2245" t="s">
        <v>800</v>
      </c>
      <c r="C99" s="1969" t="s">
        <v>32</v>
      </c>
      <c r="D99" s="1939" t="s">
        <v>41</v>
      </c>
      <c r="E99" s="1946">
        <v>60</v>
      </c>
      <c r="F99" s="1946">
        <v>60</v>
      </c>
      <c r="G99" s="1956">
        <f t="shared" si="14"/>
        <v>100</v>
      </c>
      <c r="H99" s="1940">
        <v>291796</v>
      </c>
      <c r="I99" s="1942">
        <v>71010.149999999994</v>
      </c>
      <c r="J99" s="1942">
        <v>24.33554606642997</v>
      </c>
    </row>
    <row r="100" spans="1:10" ht="21.75" customHeight="1" x14ac:dyDescent="0.2">
      <c r="A100" s="2246">
        <v>4</v>
      </c>
      <c r="B100" s="1913" t="s">
        <v>61</v>
      </c>
      <c r="C100" s="1969" t="s">
        <v>32</v>
      </c>
      <c r="D100" s="1945" t="s">
        <v>41</v>
      </c>
      <c r="E100" s="1946">
        <v>1500</v>
      </c>
      <c r="F100" s="1946">
        <v>572</v>
      </c>
      <c r="G100" s="1956">
        <f t="shared" si="14"/>
        <v>38.133333333333333</v>
      </c>
      <c r="H100" s="1937">
        <v>4145261</v>
      </c>
      <c r="I100" s="1938">
        <v>1033653.77</v>
      </c>
      <c r="J100" s="1938">
        <v>24.935794633920519</v>
      </c>
    </row>
    <row r="101" spans="1:10" ht="24.75" customHeight="1" x14ac:dyDescent="0.2">
      <c r="A101" s="2246">
        <v>5</v>
      </c>
      <c r="B101" s="2245" t="s">
        <v>801</v>
      </c>
      <c r="C101" s="1969" t="s">
        <v>32</v>
      </c>
      <c r="D101" s="1945" t="s">
        <v>802</v>
      </c>
      <c r="E101" s="1946">
        <v>4</v>
      </c>
      <c r="F101" s="1946">
        <v>2</v>
      </c>
      <c r="G101" s="1956">
        <f t="shared" si="14"/>
        <v>50</v>
      </c>
      <c r="H101" s="1937">
        <v>9500</v>
      </c>
      <c r="I101" s="1938">
        <v>4750</v>
      </c>
      <c r="J101" s="1938">
        <v>50</v>
      </c>
    </row>
    <row r="102" spans="1:10" ht="26.25" customHeight="1" x14ac:dyDescent="0.2">
      <c r="A102" s="2301">
        <v>6</v>
      </c>
      <c r="B102" s="2307" t="s">
        <v>803</v>
      </c>
      <c r="C102" s="1969"/>
      <c r="D102" s="1945"/>
      <c r="E102" s="1946"/>
      <c r="F102" s="1946"/>
      <c r="G102" s="1956"/>
      <c r="H102" s="1937">
        <f>SUM(H103:H107)</f>
        <v>1408615</v>
      </c>
      <c r="I102" s="1938">
        <f>SUM(I103:I107)</f>
        <v>660167.49</v>
      </c>
      <c r="J102" s="1938">
        <f>+I102/H102*100</f>
        <v>46.86642482154457</v>
      </c>
    </row>
    <row r="103" spans="1:10" ht="21" customHeight="1" x14ac:dyDescent="0.2">
      <c r="A103" s="2302"/>
      <c r="B103" s="2308"/>
      <c r="C103" s="1969" t="s">
        <v>32</v>
      </c>
      <c r="D103" s="1945" t="s">
        <v>804</v>
      </c>
      <c r="E103" s="1946">
        <v>45</v>
      </c>
      <c r="F103" s="1946">
        <v>45</v>
      </c>
      <c r="G103" s="1956">
        <f t="shared" si="14"/>
        <v>100</v>
      </c>
      <c r="H103" s="1940">
        <v>287010</v>
      </c>
      <c r="I103" s="1942">
        <v>111652.5</v>
      </c>
      <c r="J103" s="1942">
        <f>+I103/H103*100</f>
        <v>38.901954635726973</v>
      </c>
    </row>
    <row r="104" spans="1:10" ht="21.75" customHeight="1" x14ac:dyDescent="0.2">
      <c r="A104" s="2302"/>
      <c r="B104" s="2308"/>
      <c r="C104" s="1969" t="s">
        <v>32</v>
      </c>
      <c r="D104" s="1945" t="s">
        <v>805</v>
      </c>
      <c r="E104" s="1946">
        <v>60</v>
      </c>
      <c r="F104" s="1946">
        <v>31</v>
      </c>
      <c r="G104" s="1956">
        <f t="shared" si="14"/>
        <v>51.666666666666671</v>
      </c>
      <c r="H104" s="1940">
        <v>358375</v>
      </c>
      <c r="I104" s="1942">
        <v>165872.99</v>
      </c>
      <c r="J104" s="1942">
        <f t="shared" ref="J104:J107" si="15">+I104/H104*100</f>
        <v>46.284754795953958</v>
      </c>
    </row>
    <row r="105" spans="1:10" ht="21.75" customHeight="1" x14ac:dyDescent="0.2">
      <c r="A105" s="2302"/>
      <c r="B105" s="2308"/>
      <c r="C105" s="1969" t="s">
        <v>32</v>
      </c>
      <c r="D105" s="1945" t="s">
        <v>806</v>
      </c>
      <c r="E105" s="1946"/>
      <c r="F105" s="1946"/>
      <c r="G105" s="1956"/>
      <c r="H105" s="1940">
        <v>445430</v>
      </c>
      <c r="I105" s="1942">
        <v>218341</v>
      </c>
      <c r="J105" s="1942">
        <f t="shared" si="15"/>
        <v>49.018027523965607</v>
      </c>
    </row>
    <row r="106" spans="1:10" ht="21.75" customHeight="1" x14ac:dyDescent="0.2">
      <c r="A106" s="2302"/>
      <c r="B106" s="2308"/>
      <c r="C106" s="1969" t="s">
        <v>32</v>
      </c>
      <c r="D106" s="1945" t="s">
        <v>807</v>
      </c>
      <c r="E106" s="1946">
        <v>32</v>
      </c>
      <c r="F106" s="1946">
        <v>16</v>
      </c>
      <c r="G106" s="1956">
        <f t="shared" si="14"/>
        <v>50</v>
      </c>
      <c r="H106" s="1940">
        <v>52120</v>
      </c>
      <c r="I106" s="1942">
        <v>10000</v>
      </c>
      <c r="J106" s="1942">
        <f t="shared" si="15"/>
        <v>19.186492709132771</v>
      </c>
    </row>
    <row r="107" spans="1:10" ht="34.5" customHeight="1" x14ac:dyDescent="0.2">
      <c r="A107" s="2303"/>
      <c r="B107" s="2311"/>
      <c r="C107" s="1969" t="s">
        <v>32</v>
      </c>
      <c r="D107" s="1945" t="s">
        <v>59</v>
      </c>
      <c r="E107" s="1946">
        <v>14</v>
      </c>
      <c r="F107" s="1946">
        <v>12</v>
      </c>
      <c r="G107" s="1956">
        <f t="shared" si="14"/>
        <v>85.714285714285708</v>
      </c>
      <c r="H107" s="1940">
        <v>265680</v>
      </c>
      <c r="I107" s="1942">
        <v>154301</v>
      </c>
      <c r="J107" s="1942">
        <f t="shared" si="15"/>
        <v>58.077762722071668</v>
      </c>
    </row>
    <row r="108" spans="1:10" ht="61.5" customHeight="1" x14ac:dyDescent="0.2">
      <c r="A108" s="2312" t="s">
        <v>2794</v>
      </c>
      <c r="B108" s="2310" t="s">
        <v>808</v>
      </c>
      <c r="C108" s="1969"/>
      <c r="D108" s="1945"/>
      <c r="E108" s="1946"/>
      <c r="F108" s="1946"/>
      <c r="G108" s="1956"/>
      <c r="H108" s="1937">
        <f>SUM(H109:H113)</f>
        <v>1307941</v>
      </c>
      <c r="I108" s="1938">
        <f>SUM(I109:I113)</f>
        <v>556795.25</v>
      </c>
      <c r="J108" s="1938">
        <v>42.570364412462034</v>
      </c>
    </row>
    <row r="109" spans="1:10" ht="28.5" customHeight="1" x14ac:dyDescent="0.2">
      <c r="A109" s="2312"/>
      <c r="B109" s="2310"/>
      <c r="C109" s="1969"/>
      <c r="D109" s="1945" t="s">
        <v>809</v>
      </c>
      <c r="E109" s="1946">
        <v>30</v>
      </c>
      <c r="F109" s="1946">
        <v>0</v>
      </c>
      <c r="G109" s="1956">
        <f t="shared" si="14"/>
        <v>0</v>
      </c>
      <c r="H109" s="1940">
        <v>0</v>
      </c>
      <c r="I109" s="1942">
        <v>0</v>
      </c>
      <c r="J109" s="1942"/>
    </row>
    <row r="110" spans="1:10" ht="18.75" customHeight="1" x14ac:dyDescent="0.2">
      <c r="A110" s="2312"/>
      <c r="B110" s="2310"/>
      <c r="C110" s="1969" t="s">
        <v>32</v>
      </c>
      <c r="D110" s="1945" t="s">
        <v>2508</v>
      </c>
      <c r="E110" s="1946">
        <v>84</v>
      </c>
      <c r="F110" s="1946">
        <v>65</v>
      </c>
      <c r="G110" s="1956">
        <f t="shared" si="14"/>
        <v>77.38095238095238</v>
      </c>
      <c r="H110" s="1940">
        <v>89130</v>
      </c>
      <c r="I110" s="1942">
        <v>53863</v>
      </c>
      <c r="J110" s="1942">
        <v>60.431953326601594</v>
      </c>
    </row>
    <row r="111" spans="1:10" ht="21.75" customHeight="1" x14ac:dyDescent="0.2">
      <c r="A111" s="2312"/>
      <c r="B111" s="2310"/>
      <c r="C111" s="1969" t="s">
        <v>32</v>
      </c>
      <c r="D111" s="1945" t="s">
        <v>810</v>
      </c>
      <c r="E111" s="1946">
        <v>4</v>
      </c>
      <c r="F111" s="1946">
        <v>0</v>
      </c>
      <c r="G111" s="1956">
        <f t="shared" si="14"/>
        <v>0</v>
      </c>
      <c r="H111" s="1940">
        <v>42000</v>
      </c>
      <c r="I111" s="1942">
        <v>21000</v>
      </c>
      <c r="J111" s="1942">
        <v>50</v>
      </c>
    </row>
    <row r="112" spans="1:10" ht="16.5" customHeight="1" x14ac:dyDescent="0.2">
      <c r="A112" s="2312"/>
      <c r="B112" s="2310"/>
      <c r="C112" s="1969" t="s">
        <v>32</v>
      </c>
      <c r="D112" s="1945" t="s">
        <v>811</v>
      </c>
      <c r="E112" s="1946">
        <v>36</v>
      </c>
      <c r="F112" s="1946">
        <v>10</v>
      </c>
      <c r="G112" s="1956">
        <f t="shared" si="14"/>
        <v>27.777777777777779</v>
      </c>
      <c r="H112" s="1940">
        <v>1087681</v>
      </c>
      <c r="I112" s="1942">
        <v>428069.25</v>
      </c>
      <c r="J112" s="1942">
        <v>39.356139346003097</v>
      </c>
    </row>
    <row r="113" spans="1:10" ht="25.5" x14ac:dyDescent="0.2">
      <c r="A113" s="2312"/>
      <c r="B113" s="2310"/>
      <c r="C113" s="1969" t="s">
        <v>32</v>
      </c>
      <c r="D113" s="1945" t="s">
        <v>812</v>
      </c>
      <c r="E113" s="1940">
        <v>575</v>
      </c>
      <c r="F113" s="1940">
        <v>65</v>
      </c>
      <c r="G113" s="1956">
        <f t="shared" si="14"/>
        <v>11.304347826086957</v>
      </c>
      <c r="H113" s="1940">
        <v>89130</v>
      </c>
      <c r="I113" s="1942">
        <v>53863</v>
      </c>
      <c r="J113" s="1942">
        <v>60.431953326601594</v>
      </c>
    </row>
    <row r="114" spans="1:10" ht="21.75" customHeight="1" x14ac:dyDescent="0.2">
      <c r="A114" s="2312">
        <v>8</v>
      </c>
      <c r="B114" s="2310" t="s">
        <v>793</v>
      </c>
      <c r="C114" s="1969"/>
      <c r="D114" s="1939"/>
      <c r="E114" s="1940"/>
      <c r="F114" s="1940"/>
      <c r="G114" s="1956"/>
      <c r="H114" s="1937">
        <f>SUM(H115:H117)</f>
        <v>162440</v>
      </c>
      <c r="I114" s="1938">
        <f>SUM(I115:I117)</f>
        <v>81220</v>
      </c>
      <c r="J114" s="1938">
        <v>50</v>
      </c>
    </row>
    <row r="115" spans="1:10" ht="21.75" customHeight="1" x14ac:dyDescent="0.2">
      <c r="A115" s="2312"/>
      <c r="B115" s="2310"/>
      <c r="C115" s="1969" t="s">
        <v>32</v>
      </c>
      <c r="D115" s="1939" t="s">
        <v>34</v>
      </c>
      <c r="E115" s="1940">
        <v>2</v>
      </c>
      <c r="F115" s="1940">
        <v>2</v>
      </c>
      <c r="G115" s="1956">
        <f t="shared" si="14"/>
        <v>100</v>
      </c>
      <c r="H115" s="1940">
        <v>0</v>
      </c>
      <c r="I115" s="1942">
        <v>0</v>
      </c>
      <c r="J115" s="1942"/>
    </row>
    <row r="116" spans="1:10" ht="21.75" customHeight="1" x14ac:dyDescent="0.2">
      <c r="A116" s="2312"/>
      <c r="B116" s="2310"/>
      <c r="C116" s="1969" t="s">
        <v>32</v>
      </c>
      <c r="D116" s="1939" t="s">
        <v>813</v>
      </c>
      <c r="E116" s="1940">
        <v>8</v>
      </c>
      <c r="F116" s="1940">
        <v>2</v>
      </c>
      <c r="G116" s="1956">
        <f t="shared" si="14"/>
        <v>25</v>
      </c>
      <c r="H116" s="1940">
        <v>37440</v>
      </c>
      <c r="I116" s="1942">
        <v>18720</v>
      </c>
      <c r="J116" s="1942">
        <f>+I116/H116*100</f>
        <v>50</v>
      </c>
    </row>
    <row r="117" spans="1:10" ht="25.5" x14ac:dyDescent="0.2">
      <c r="A117" s="2312"/>
      <c r="B117" s="2310"/>
      <c r="C117" s="1969" t="s">
        <v>32</v>
      </c>
      <c r="D117" s="1939" t="s">
        <v>814</v>
      </c>
      <c r="E117" s="1940">
        <v>255</v>
      </c>
      <c r="F117" s="1940">
        <v>2</v>
      </c>
      <c r="G117" s="1956">
        <f t="shared" si="14"/>
        <v>0.78431372549019607</v>
      </c>
      <c r="H117" s="1940">
        <v>125000</v>
      </c>
      <c r="I117" s="1942">
        <v>62500</v>
      </c>
      <c r="J117" s="1942">
        <f>+I117/H117*100</f>
        <v>50</v>
      </c>
    </row>
    <row r="118" spans="1:10" ht="21.75" customHeight="1" x14ac:dyDescent="0.2">
      <c r="A118" s="2312">
        <v>9</v>
      </c>
      <c r="B118" s="2310" t="s">
        <v>815</v>
      </c>
      <c r="C118" s="1969"/>
      <c r="D118" s="1939"/>
      <c r="E118" s="1940"/>
      <c r="F118" s="1940"/>
      <c r="G118" s="1956"/>
      <c r="H118" s="1937">
        <f>SUM(H119:H122)</f>
        <v>166119</v>
      </c>
      <c r="I118" s="1938">
        <f>SUM(I119:I122)</f>
        <v>133474.25</v>
      </c>
      <c r="J118" s="1938">
        <v>80.348575418826258</v>
      </c>
    </row>
    <row r="119" spans="1:10" ht="21.75" customHeight="1" x14ac:dyDescent="0.2">
      <c r="A119" s="2312"/>
      <c r="B119" s="2310"/>
      <c r="C119" s="1969" t="s">
        <v>32</v>
      </c>
      <c r="D119" s="1939" t="s">
        <v>816</v>
      </c>
      <c r="E119" s="1940">
        <v>950</v>
      </c>
      <c r="F119" s="1940">
        <v>612</v>
      </c>
      <c r="G119" s="1956">
        <f t="shared" si="14"/>
        <v>64.421052631578945</v>
      </c>
      <c r="H119" s="1940">
        <v>0</v>
      </c>
      <c r="I119" s="1942">
        <v>0</v>
      </c>
      <c r="J119" s="1942"/>
    </row>
    <row r="120" spans="1:10" ht="25.5" x14ac:dyDescent="0.2">
      <c r="A120" s="2312"/>
      <c r="B120" s="2310"/>
      <c r="C120" s="1969" t="s">
        <v>32</v>
      </c>
      <c r="D120" s="1939" t="s">
        <v>817</v>
      </c>
      <c r="E120" s="1940">
        <v>45</v>
      </c>
      <c r="F120" s="1940">
        <v>45</v>
      </c>
      <c r="G120" s="1956">
        <f t="shared" si="14"/>
        <v>100</v>
      </c>
      <c r="H120" s="1940">
        <v>166119</v>
      </c>
      <c r="I120" s="1942">
        <v>133474.25</v>
      </c>
      <c r="J120" s="1942">
        <f>+I120/H120*100</f>
        <v>80.348575418826258</v>
      </c>
    </row>
    <row r="121" spans="1:10" ht="21" customHeight="1" x14ac:dyDescent="0.2">
      <c r="A121" s="2312"/>
      <c r="B121" s="2310"/>
      <c r="C121" s="1969" t="s">
        <v>32</v>
      </c>
      <c r="D121" s="1939" t="s">
        <v>806</v>
      </c>
      <c r="E121" s="1940">
        <v>15</v>
      </c>
      <c r="F121" s="1940">
        <v>44</v>
      </c>
      <c r="G121" s="1956">
        <f t="shared" si="14"/>
        <v>293.33333333333331</v>
      </c>
      <c r="H121" s="1940">
        <v>0</v>
      </c>
      <c r="I121" s="1942">
        <v>0</v>
      </c>
      <c r="J121" s="1942"/>
    </row>
    <row r="122" spans="1:10" ht="21.75" customHeight="1" x14ac:dyDescent="0.2">
      <c r="A122" s="2312"/>
      <c r="B122" s="2310"/>
      <c r="C122" s="1969" t="s">
        <v>32</v>
      </c>
      <c r="D122" s="1939" t="s">
        <v>62</v>
      </c>
      <c r="E122" s="1940">
        <v>2</v>
      </c>
      <c r="F122" s="1940">
        <v>2</v>
      </c>
      <c r="G122" s="1956">
        <f t="shared" si="14"/>
        <v>100</v>
      </c>
      <c r="H122" s="1940">
        <v>0</v>
      </c>
      <c r="I122" s="1942">
        <v>0</v>
      </c>
      <c r="J122" s="1942"/>
    </row>
    <row r="123" spans="1:10" ht="21.75" customHeight="1" x14ac:dyDescent="0.2">
      <c r="A123" s="2301">
        <v>10</v>
      </c>
      <c r="B123" s="2310" t="s">
        <v>818</v>
      </c>
      <c r="C123" s="1969"/>
      <c r="D123" s="1939"/>
      <c r="E123" s="1940"/>
      <c r="F123" s="1940"/>
      <c r="G123" s="1956"/>
      <c r="H123" s="1937">
        <f>SUM(H124:H127)</f>
        <v>3809672</v>
      </c>
      <c r="I123" s="1938">
        <f>SUM(I124:I127)</f>
        <v>2195332.86</v>
      </c>
      <c r="J123" s="1938">
        <f>+I123/H123*100</f>
        <v>57.625245952932424</v>
      </c>
    </row>
    <row r="124" spans="1:10" ht="21.75" customHeight="1" x14ac:dyDescent="0.2">
      <c r="A124" s="2302"/>
      <c r="B124" s="2310"/>
      <c r="C124" s="1969" t="s">
        <v>32</v>
      </c>
      <c r="D124" s="1939" t="s">
        <v>804</v>
      </c>
      <c r="E124" s="1940">
        <v>1</v>
      </c>
      <c r="F124" s="1940">
        <v>1</v>
      </c>
      <c r="G124" s="1956">
        <f t="shared" si="14"/>
        <v>100</v>
      </c>
      <c r="H124" s="1940">
        <v>0</v>
      </c>
      <c r="I124" s="1942">
        <v>0</v>
      </c>
      <c r="J124" s="1942"/>
    </row>
    <row r="125" spans="1:10" ht="21.75" customHeight="1" x14ac:dyDescent="0.2">
      <c r="A125" s="2302"/>
      <c r="B125" s="2310"/>
      <c r="C125" s="1969" t="s">
        <v>32</v>
      </c>
      <c r="D125" s="1939" t="s">
        <v>816</v>
      </c>
      <c r="E125" s="1940">
        <v>12800</v>
      </c>
      <c r="F125" s="1940">
        <v>1350</v>
      </c>
      <c r="G125" s="1956">
        <f t="shared" si="14"/>
        <v>10.546875</v>
      </c>
      <c r="H125" s="1940">
        <v>339773</v>
      </c>
      <c r="I125" s="1942">
        <v>190559.87</v>
      </c>
      <c r="J125" s="1942">
        <f t="shared" ref="J125:J127" si="16">+I125/H125*100</f>
        <v>56.084465216482769</v>
      </c>
    </row>
    <row r="126" spans="1:10" ht="21.75" customHeight="1" x14ac:dyDescent="0.2">
      <c r="A126" s="2302"/>
      <c r="B126" s="2310"/>
      <c r="C126" s="1969" t="s">
        <v>32</v>
      </c>
      <c r="D126" s="1939" t="s">
        <v>63</v>
      </c>
      <c r="E126" s="1940">
        <v>34</v>
      </c>
      <c r="F126" s="1940">
        <v>34</v>
      </c>
      <c r="G126" s="1956">
        <f t="shared" si="14"/>
        <v>100</v>
      </c>
      <c r="H126" s="1940">
        <v>1628934</v>
      </c>
      <c r="I126" s="1942">
        <v>956644.1</v>
      </c>
      <c r="J126" s="1942">
        <f t="shared" si="16"/>
        <v>58.728229627474157</v>
      </c>
    </row>
    <row r="127" spans="1:10" ht="21.75" customHeight="1" x14ac:dyDescent="0.2">
      <c r="A127" s="2303"/>
      <c r="B127" s="2310"/>
      <c r="C127" s="1969" t="s">
        <v>32</v>
      </c>
      <c r="D127" s="1939" t="s">
        <v>806</v>
      </c>
      <c r="E127" s="1940">
        <v>2223</v>
      </c>
      <c r="F127" s="1940">
        <v>1952</v>
      </c>
      <c r="G127" s="1956">
        <f t="shared" si="14"/>
        <v>87.809266756635168</v>
      </c>
      <c r="H127" s="1940">
        <v>1840965</v>
      </c>
      <c r="I127" s="1942">
        <v>1048128.8899999999</v>
      </c>
      <c r="J127" s="1942">
        <f t="shared" si="16"/>
        <v>56.933667397261758</v>
      </c>
    </row>
    <row r="128" spans="1:10" ht="21.75" customHeight="1" x14ac:dyDescent="0.2">
      <c r="A128" s="2312">
        <v>11</v>
      </c>
      <c r="B128" s="2310" t="s">
        <v>2795</v>
      </c>
      <c r="C128" s="1969"/>
      <c r="D128" s="1939"/>
      <c r="E128" s="1940"/>
      <c r="F128" s="1940"/>
      <c r="G128" s="1956"/>
      <c r="H128" s="1937">
        <f>SUM(H129:H131)</f>
        <v>5926</v>
      </c>
      <c r="I128" s="1942">
        <f>SUM(I129:I131)</f>
        <v>0</v>
      </c>
      <c r="J128" s="1942">
        <v>0</v>
      </c>
    </row>
    <row r="129" spans="1:10" ht="21.75" customHeight="1" x14ac:dyDescent="0.2">
      <c r="A129" s="2312"/>
      <c r="B129" s="2310"/>
      <c r="C129" s="1969" t="s">
        <v>32</v>
      </c>
      <c r="D129" s="1939" t="s">
        <v>816</v>
      </c>
      <c r="E129" s="1940"/>
      <c r="F129" s="1940"/>
      <c r="G129" s="1956"/>
      <c r="H129" s="1940">
        <v>0</v>
      </c>
      <c r="I129" s="1942">
        <v>0</v>
      </c>
      <c r="J129" s="1942"/>
    </row>
    <row r="130" spans="1:10" ht="21.75" customHeight="1" x14ac:dyDescent="0.2">
      <c r="A130" s="2312"/>
      <c r="B130" s="2310"/>
      <c r="C130" s="1969" t="s">
        <v>32</v>
      </c>
      <c r="D130" s="1939" t="s">
        <v>63</v>
      </c>
      <c r="E130" s="1940"/>
      <c r="F130" s="1940"/>
      <c r="G130" s="1956"/>
      <c r="H130" s="1940">
        <v>0</v>
      </c>
      <c r="I130" s="1942">
        <v>0</v>
      </c>
      <c r="J130" s="1942"/>
    </row>
    <row r="131" spans="1:10" ht="42" customHeight="1" x14ac:dyDescent="0.2">
      <c r="A131" s="2312"/>
      <c r="B131" s="2310"/>
      <c r="C131" s="1969" t="s">
        <v>32</v>
      </c>
      <c r="D131" s="1939" t="s">
        <v>806</v>
      </c>
      <c r="E131" s="1940">
        <v>244</v>
      </c>
      <c r="F131" s="1940">
        <v>244</v>
      </c>
      <c r="G131" s="1956">
        <f t="shared" si="14"/>
        <v>100</v>
      </c>
      <c r="H131" s="1940">
        <v>5926</v>
      </c>
      <c r="I131" s="1942">
        <v>0</v>
      </c>
      <c r="J131" s="1942">
        <v>0</v>
      </c>
    </row>
    <row r="132" spans="1:10" ht="30" customHeight="1" x14ac:dyDescent="0.2">
      <c r="A132" s="2312">
        <v>12</v>
      </c>
      <c r="B132" s="2310" t="s">
        <v>819</v>
      </c>
      <c r="C132" s="1969"/>
      <c r="D132" s="1939"/>
      <c r="E132" s="1940"/>
      <c r="F132" s="1940"/>
      <c r="G132" s="1956"/>
      <c r="H132" s="1937">
        <f>SUM(H133:H140)</f>
        <v>1622580</v>
      </c>
      <c r="I132" s="1938">
        <f>SUM(I133:I140)</f>
        <v>716153.5</v>
      </c>
      <c r="J132" s="1938">
        <f>+I132/H132*100</f>
        <v>44.136714368474898</v>
      </c>
    </row>
    <row r="133" spans="1:10" ht="21.75" customHeight="1" x14ac:dyDescent="0.2">
      <c r="A133" s="2312"/>
      <c r="B133" s="2310"/>
      <c r="C133" s="1969" t="s">
        <v>32</v>
      </c>
      <c r="D133" s="1939" t="s">
        <v>820</v>
      </c>
      <c r="E133" s="1940">
        <v>68</v>
      </c>
      <c r="F133" s="1940">
        <v>270</v>
      </c>
      <c r="G133" s="1956">
        <f t="shared" si="14"/>
        <v>397.05882352941177</v>
      </c>
      <c r="H133" s="1940">
        <v>1622580</v>
      </c>
      <c r="I133" s="1942">
        <v>716153.5</v>
      </c>
      <c r="J133" s="1942">
        <f>+I133/H133*100</f>
        <v>44.136714368474898</v>
      </c>
    </row>
    <row r="134" spans="1:10" ht="21.75" customHeight="1" x14ac:dyDescent="0.2">
      <c r="A134" s="2312"/>
      <c r="B134" s="2310"/>
      <c r="C134" s="1969" t="s">
        <v>32</v>
      </c>
      <c r="D134" s="1939" t="s">
        <v>821</v>
      </c>
      <c r="E134" s="1940">
        <v>107</v>
      </c>
      <c r="F134" s="1940">
        <v>107</v>
      </c>
      <c r="G134" s="1956">
        <f t="shared" si="14"/>
        <v>100</v>
      </c>
      <c r="H134" s="1940">
        <v>0</v>
      </c>
      <c r="I134" s="1942">
        <v>0</v>
      </c>
      <c r="J134" s="1942"/>
    </row>
    <row r="135" spans="1:10" ht="21.75" customHeight="1" x14ac:dyDescent="0.2">
      <c r="A135" s="2312"/>
      <c r="B135" s="2310"/>
      <c r="C135" s="1969" t="s">
        <v>32</v>
      </c>
      <c r="D135" s="1939" t="s">
        <v>822</v>
      </c>
      <c r="E135" s="1940"/>
      <c r="F135" s="1940"/>
      <c r="G135" s="1956"/>
      <c r="H135" s="1940">
        <v>0</v>
      </c>
      <c r="I135" s="1942">
        <v>0</v>
      </c>
      <c r="J135" s="1942"/>
    </row>
    <row r="136" spans="1:10" ht="21.75" customHeight="1" x14ac:dyDescent="0.2">
      <c r="A136" s="2312"/>
      <c r="B136" s="2310"/>
      <c r="C136" s="1969" t="s">
        <v>32</v>
      </c>
      <c r="D136" s="1939" t="s">
        <v>823</v>
      </c>
      <c r="E136" s="1940"/>
      <c r="F136" s="1940"/>
      <c r="G136" s="1956"/>
      <c r="H136" s="1940">
        <v>0</v>
      </c>
      <c r="I136" s="1942">
        <v>0</v>
      </c>
      <c r="J136" s="1942"/>
    </row>
    <row r="137" spans="1:10" ht="21.75" customHeight="1" x14ac:dyDescent="0.2">
      <c r="A137" s="2312"/>
      <c r="B137" s="2310"/>
      <c r="C137" s="1969" t="s">
        <v>32</v>
      </c>
      <c r="D137" s="1939" t="s">
        <v>824</v>
      </c>
      <c r="E137" s="1940"/>
      <c r="F137" s="1940"/>
      <c r="G137" s="1956"/>
      <c r="H137" s="1940">
        <v>0</v>
      </c>
      <c r="I137" s="1942">
        <v>0</v>
      </c>
      <c r="J137" s="1942"/>
    </row>
    <row r="138" spans="1:10" ht="21.75" customHeight="1" x14ac:dyDescent="0.2">
      <c r="A138" s="2312"/>
      <c r="B138" s="2310"/>
      <c r="C138" s="1969" t="s">
        <v>32</v>
      </c>
      <c r="D138" s="1939" t="s">
        <v>825</v>
      </c>
      <c r="E138" s="1940"/>
      <c r="F138" s="1940"/>
      <c r="G138" s="1956"/>
      <c r="H138" s="1940">
        <v>0</v>
      </c>
      <c r="I138" s="1942">
        <v>0</v>
      </c>
      <c r="J138" s="1942"/>
    </row>
    <row r="139" spans="1:10" ht="21.75" customHeight="1" x14ac:dyDescent="0.2">
      <c r="A139" s="2312"/>
      <c r="B139" s="2310"/>
      <c r="C139" s="1969" t="s">
        <v>32</v>
      </c>
      <c r="D139" s="1939" t="s">
        <v>63</v>
      </c>
      <c r="E139" s="1940">
        <v>146</v>
      </c>
      <c r="F139" s="1940">
        <v>146</v>
      </c>
      <c r="G139" s="1956">
        <f t="shared" si="14"/>
        <v>100</v>
      </c>
      <c r="H139" s="1940">
        <v>0</v>
      </c>
      <c r="I139" s="1942">
        <v>0</v>
      </c>
      <c r="J139" s="1942"/>
    </row>
    <row r="140" spans="1:10" ht="21.75" customHeight="1" x14ac:dyDescent="0.2">
      <c r="A140" s="2312"/>
      <c r="B140" s="2310"/>
      <c r="C140" s="1969" t="s">
        <v>32</v>
      </c>
      <c r="D140" s="1939" t="s">
        <v>806</v>
      </c>
      <c r="E140" s="1940">
        <v>2412</v>
      </c>
      <c r="F140" s="1940">
        <v>2412</v>
      </c>
      <c r="G140" s="1956">
        <f t="shared" si="14"/>
        <v>100</v>
      </c>
      <c r="H140" s="1940">
        <v>0</v>
      </c>
      <c r="I140" s="1942">
        <v>0</v>
      </c>
      <c r="J140" s="1942"/>
    </row>
    <row r="141" spans="1:10" ht="21.75" customHeight="1" x14ac:dyDescent="0.2">
      <c r="A141" s="2312">
        <v>13</v>
      </c>
      <c r="B141" s="2310" t="s">
        <v>826</v>
      </c>
      <c r="C141" s="1969"/>
      <c r="D141" s="1939"/>
      <c r="E141" s="1940"/>
      <c r="F141" s="1940"/>
      <c r="G141" s="1956"/>
      <c r="H141" s="1937">
        <f>SUM(H142:H144)</f>
        <v>1107112</v>
      </c>
      <c r="I141" s="1938">
        <f>SUM(I142:I144)</f>
        <v>679424.14</v>
      </c>
      <c r="J141" s="1938">
        <v>61.369052092290573</v>
      </c>
    </row>
    <row r="142" spans="1:10" ht="21.75" customHeight="1" x14ac:dyDescent="0.2">
      <c r="A142" s="2312"/>
      <c r="B142" s="2310"/>
      <c r="C142" s="1969" t="s">
        <v>32</v>
      </c>
      <c r="D142" s="1939" t="s">
        <v>816</v>
      </c>
      <c r="E142" s="1940">
        <v>380</v>
      </c>
      <c r="F142" s="1940">
        <v>380</v>
      </c>
      <c r="G142" s="1956">
        <f t="shared" si="14"/>
        <v>100</v>
      </c>
      <c r="H142" s="1940">
        <v>169474</v>
      </c>
      <c r="I142" s="1942">
        <v>109300</v>
      </c>
      <c r="J142" s="1942">
        <f t="shared" ref="J142:J144" si="17">+I142/H142*100</f>
        <v>64.493668645337934</v>
      </c>
    </row>
    <row r="143" spans="1:10" ht="21.75" customHeight="1" x14ac:dyDescent="0.2">
      <c r="A143" s="2312"/>
      <c r="B143" s="2310"/>
      <c r="C143" s="1969" t="s">
        <v>32</v>
      </c>
      <c r="D143" s="1939" t="s">
        <v>63</v>
      </c>
      <c r="E143" s="1940">
        <v>15</v>
      </c>
      <c r="F143" s="1940">
        <v>15</v>
      </c>
      <c r="G143" s="1956">
        <f t="shared" si="14"/>
        <v>100</v>
      </c>
      <c r="H143" s="1940">
        <v>609442</v>
      </c>
      <c r="I143" s="1942">
        <v>354492</v>
      </c>
      <c r="J143" s="1942">
        <f t="shared" si="17"/>
        <v>58.166650805162753</v>
      </c>
    </row>
    <row r="144" spans="1:10" ht="21.75" customHeight="1" x14ac:dyDescent="0.2">
      <c r="A144" s="2312"/>
      <c r="B144" s="2310"/>
      <c r="C144" s="1969" t="s">
        <v>32</v>
      </c>
      <c r="D144" s="1939" t="s">
        <v>806</v>
      </c>
      <c r="E144" s="1940">
        <v>533</v>
      </c>
      <c r="F144" s="1940">
        <v>533</v>
      </c>
      <c r="G144" s="1956">
        <f t="shared" si="14"/>
        <v>100</v>
      </c>
      <c r="H144" s="1940">
        <v>328196</v>
      </c>
      <c r="I144" s="1942">
        <v>215632.14</v>
      </c>
      <c r="J144" s="1942">
        <f t="shared" si="17"/>
        <v>65.702244999939069</v>
      </c>
    </row>
    <row r="145" spans="1:10" ht="21.75" customHeight="1" x14ac:dyDescent="0.2">
      <c r="A145" s="2312">
        <v>14</v>
      </c>
      <c r="B145" s="2310" t="s">
        <v>827</v>
      </c>
      <c r="C145" s="1969"/>
      <c r="D145" s="1939"/>
      <c r="E145" s="1940"/>
      <c r="F145" s="1940"/>
      <c r="G145" s="1956"/>
      <c r="H145" s="1937">
        <f>SUM(H146:H148)</f>
        <v>2900228</v>
      </c>
      <c r="I145" s="1938">
        <f>SUM(I146:I148)</f>
        <v>1528999.5799999998</v>
      </c>
      <c r="J145" s="1938">
        <v>52.719978567202297</v>
      </c>
    </row>
    <row r="146" spans="1:10" ht="21.75" customHeight="1" x14ac:dyDescent="0.2">
      <c r="A146" s="2312"/>
      <c r="B146" s="2310"/>
      <c r="C146" s="1969" t="s">
        <v>32</v>
      </c>
      <c r="D146" s="1939" t="s">
        <v>816</v>
      </c>
      <c r="E146" s="1940">
        <v>2000</v>
      </c>
      <c r="F146" s="1940">
        <v>1080</v>
      </c>
      <c r="G146" s="1956">
        <f t="shared" si="14"/>
        <v>54</v>
      </c>
      <c r="H146" s="1940">
        <v>324603</v>
      </c>
      <c r="I146" s="1942">
        <v>152666</v>
      </c>
      <c r="J146" s="1942">
        <f t="shared" ref="J146:J148" si="18">+I146/H146*100</f>
        <v>47.031604760276394</v>
      </c>
    </row>
    <row r="147" spans="1:10" ht="21.75" customHeight="1" x14ac:dyDescent="0.2">
      <c r="A147" s="2312"/>
      <c r="B147" s="2310"/>
      <c r="C147" s="1969" t="s">
        <v>32</v>
      </c>
      <c r="D147" s="1939" t="s">
        <v>63</v>
      </c>
      <c r="E147" s="1940">
        <v>60</v>
      </c>
      <c r="F147" s="1940">
        <v>30</v>
      </c>
      <c r="G147" s="1956">
        <f t="shared" si="14"/>
        <v>50</v>
      </c>
      <c r="H147" s="1940">
        <v>311863</v>
      </c>
      <c r="I147" s="1942">
        <v>151259</v>
      </c>
      <c r="J147" s="1942">
        <f t="shared" si="18"/>
        <v>48.501745958962751</v>
      </c>
    </row>
    <row r="148" spans="1:10" ht="21.75" customHeight="1" x14ac:dyDescent="0.2">
      <c r="A148" s="2312"/>
      <c r="B148" s="2310"/>
      <c r="C148" s="1969" t="s">
        <v>32</v>
      </c>
      <c r="D148" s="1939" t="s">
        <v>806</v>
      </c>
      <c r="E148" s="1940">
        <v>2000</v>
      </c>
      <c r="F148" s="1940">
        <v>1785</v>
      </c>
      <c r="G148" s="1956">
        <f t="shared" si="14"/>
        <v>89.25</v>
      </c>
      <c r="H148" s="1940">
        <v>2263762</v>
      </c>
      <c r="I148" s="1942">
        <v>1225074.5799999998</v>
      </c>
      <c r="J148" s="1942">
        <f t="shared" si="18"/>
        <v>54.116756973568769</v>
      </c>
    </row>
    <row r="149" spans="1:10" ht="21.75" customHeight="1" x14ac:dyDescent="0.2">
      <c r="A149" s="2312">
        <v>15</v>
      </c>
      <c r="B149" s="2310" t="s">
        <v>828</v>
      </c>
      <c r="C149" s="1969"/>
      <c r="D149" s="1939"/>
      <c r="E149" s="1940"/>
      <c r="F149" s="1940"/>
      <c r="G149" s="1956"/>
      <c r="H149" s="1937">
        <f>SUM(H150:H152)</f>
        <v>1724601</v>
      </c>
      <c r="I149" s="1938">
        <f>SUM(I150:I152)</f>
        <v>904830.16999999993</v>
      </c>
      <c r="J149" s="1938">
        <v>52.466058526001078</v>
      </c>
    </row>
    <row r="150" spans="1:10" ht="25.5" x14ac:dyDescent="0.2">
      <c r="A150" s="2312"/>
      <c r="B150" s="2310"/>
      <c r="C150" s="1969" t="s">
        <v>32</v>
      </c>
      <c r="D150" s="1939" t="s">
        <v>57</v>
      </c>
      <c r="E150" s="1940">
        <v>3</v>
      </c>
      <c r="F150" s="1940">
        <v>3</v>
      </c>
      <c r="G150" s="1956">
        <f t="shared" si="14"/>
        <v>100</v>
      </c>
      <c r="H150" s="1940">
        <v>539582</v>
      </c>
      <c r="I150" s="1942">
        <v>228367.16999999998</v>
      </c>
      <c r="J150" s="1942">
        <f t="shared" ref="J150:J152" si="19">+I150/H150*100</f>
        <v>42.322977786508815</v>
      </c>
    </row>
    <row r="151" spans="1:10" ht="21.75" customHeight="1" x14ac:dyDescent="0.2">
      <c r="A151" s="2312"/>
      <c r="B151" s="2310"/>
      <c r="C151" s="1969" t="s">
        <v>32</v>
      </c>
      <c r="D151" s="1939" t="s">
        <v>63</v>
      </c>
      <c r="E151" s="1940">
        <v>64</v>
      </c>
      <c r="F151" s="1940">
        <v>64</v>
      </c>
      <c r="G151" s="1956">
        <f t="shared" ref="G151:G213" si="20">+F151/E151*100</f>
        <v>100</v>
      </c>
      <c r="H151" s="1940">
        <v>1155063</v>
      </c>
      <c r="I151" s="1942">
        <v>675463</v>
      </c>
      <c r="J151" s="1942">
        <f t="shared" si="19"/>
        <v>58.47845528772023</v>
      </c>
    </row>
    <row r="152" spans="1:10" ht="21.75" customHeight="1" x14ac:dyDescent="0.2">
      <c r="A152" s="2312"/>
      <c r="B152" s="2310"/>
      <c r="C152" s="1969" t="s">
        <v>32</v>
      </c>
      <c r="D152" s="1939" t="s">
        <v>806</v>
      </c>
      <c r="E152" s="1940">
        <v>1413</v>
      </c>
      <c r="F152" s="1940">
        <v>1413</v>
      </c>
      <c r="G152" s="1956">
        <f t="shared" si="20"/>
        <v>100</v>
      </c>
      <c r="H152" s="1940">
        <v>29956</v>
      </c>
      <c r="I152" s="1942">
        <v>1000</v>
      </c>
      <c r="J152" s="1942">
        <f t="shared" si="19"/>
        <v>3.3382294031245827</v>
      </c>
    </row>
    <row r="153" spans="1:10" ht="18.75" customHeight="1" x14ac:dyDescent="0.2">
      <c r="A153" s="2301">
        <v>16</v>
      </c>
      <c r="B153" s="2310" t="s">
        <v>829</v>
      </c>
      <c r="C153" s="1969"/>
      <c r="D153" s="1939"/>
      <c r="E153" s="1940"/>
      <c r="F153" s="1940"/>
      <c r="G153" s="1956"/>
      <c r="H153" s="1937">
        <f>SUM(H154:H156)</f>
        <v>130226</v>
      </c>
      <c r="I153" s="1938">
        <f>SUM(I154:I156)</f>
        <v>51060</v>
      </c>
      <c r="J153" s="1938">
        <v>39.208760155422112</v>
      </c>
    </row>
    <row r="154" spans="1:10" ht="25.5" x14ac:dyDescent="0.2">
      <c r="A154" s="2302"/>
      <c r="B154" s="2310"/>
      <c r="C154" s="1969" t="s">
        <v>32</v>
      </c>
      <c r="D154" s="1939" t="s">
        <v>57</v>
      </c>
      <c r="E154" s="1940">
        <v>1</v>
      </c>
      <c r="F154" s="1940">
        <v>1</v>
      </c>
      <c r="G154" s="1956">
        <f t="shared" si="20"/>
        <v>100</v>
      </c>
      <c r="H154" s="1940">
        <v>130226</v>
      </c>
      <c r="I154" s="1942">
        <v>51060</v>
      </c>
      <c r="J154" s="1942">
        <f>+I154/H154*100</f>
        <v>39.208760155422112</v>
      </c>
    </row>
    <row r="155" spans="1:10" ht="21.75" customHeight="1" x14ac:dyDescent="0.2">
      <c r="A155" s="2302"/>
      <c r="B155" s="2310"/>
      <c r="C155" s="1969" t="s">
        <v>32</v>
      </c>
      <c r="D155" s="1939" t="s">
        <v>63</v>
      </c>
      <c r="E155" s="1940">
        <v>3</v>
      </c>
      <c r="F155" s="1940">
        <v>3</v>
      </c>
      <c r="G155" s="1956">
        <f t="shared" si="20"/>
        <v>100</v>
      </c>
      <c r="H155" s="1940">
        <v>0</v>
      </c>
      <c r="I155" s="1942">
        <v>0</v>
      </c>
      <c r="J155" s="1942"/>
    </row>
    <row r="156" spans="1:10" ht="66.75" customHeight="1" x14ac:dyDescent="0.2">
      <c r="A156" s="2303"/>
      <c r="B156" s="2310"/>
      <c r="C156" s="1969" t="s">
        <v>32</v>
      </c>
      <c r="D156" s="1939" t="s">
        <v>806</v>
      </c>
      <c r="E156" s="1940">
        <v>107</v>
      </c>
      <c r="F156" s="1940">
        <v>107</v>
      </c>
      <c r="G156" s="1956">
        <f t="shared" si="20"/>
        <v>100</v>
      </c>
      <c r="H156" s="1940">
        <v>0</v>
      </c>
      <c r="I156" s="1942">
        <v>0</v>
      </c>
      <c r="J156" s="1942"/>
    </row>
    <row r="157" spans="1:10" ht="18.75" customHeight="1" x14ac:dyDescent="0.2">
      <c r="A157" s="2312">
        <v>17</v>
      </c>
      <c r="B157" s="2310" t="s">
        <v>64</v>
      </c>
      <c r="C157" s="1969"/>
      <c r="D157" s="1939"/>
      <c r="E157" s="1940"/>
      <c r="F157" s="1940"/>
      <c r="G157" s="1956"/>
      <c r="H157" s="1937">
        <f>SUM(H158:H160)</f>
        <v>1082863</v>
      </c>
      <c r="I157" s="1938">
        <f>SUM(I158:I160)</f>
        <v>554943.88</v>
      </c>
      <c r="J157" s="1938">
        <v>51.247838369211983</v>
      </c>
    </row>
    <row r="158" spans="1:10" ht="23.25" customHeight="1" x14ac:dyDescent="0.2">
      <c r="A158" s="2312"/>
      <c r="B158" s="2310"/>
      <c r="C158" s="1969" t="s">
        <v>32</v>
      </c>
      <c r="D158" s="1970" t="s">
        <v>57</v>
      </c>
      <c r="E158" s="1940">
        <v>2</v>
      </c>
      <c r="F158" s="1940">
        <v>2</v>
      </c>
      <c r="G158" s="1956">
        <f t="shared" si="20"/>
        <v>100</v>
      </c>
      <c r="H158" s="1940">
        <v>114901</v>
      </c>
      <c r="I158" s="1942">
        <v>32068.27</v>
      </c>
      <c r="J158" s="1942">
        <f t="shared" ref="J158:J161" si="21">+I158/H158*100</f>
        <v>27.909478594616232</v>
      </c>
    </row>
    <row r="159" spans="1:10" ht="21.75" customHeight="1" x14ac:dyDescent="0.2">
      <c r="A159" s="2312"/>
      <c r="B159" s="2310"/>
      <c r="C159" s="1969" t="s">
        <v>32</v>
      </c>
      <c r="D159" s="1939" t="s">
        <v>63</v>
      </c>
      <c r="E159" s="1940">
        <v>24</v>
      </c>
      <c r="F159" s="1940">
        <v>24</v>
      </c>
      <c r="G159" s="1956">
        <f t="shared" si="20"/>
        <v>100</v>
      </c>
      <c r="H159" s="1940">
        <v>885799</v>
      </c>
      <c r="I159" s="1942">
        <v>520399.3</v>
      </c>
      <c r="J159" s="1942">
        <f t="shared" si="21"/>
        <v>58.749140606390384</v>
      </c>
    </row>
    <row r="160" spans="1:10" ht="21.75" customHeight="1" x14ac:dyDescent="0.2">
      <c r="A160" s="2312"/>
      <c r="B160" s="2310"/>
      <c r="C160" s="1969" t="s">
        <v>32</v>
      </c>
      <c r="D160" s="1939" t="s">
        <v>806</v>
      </c>
      <c r="E160" s="1940">
        <v>208</v>
      </c>
      <c r="F160" s="1940">
        <v>208</v>
      </c>
      <c r="G160" s="1956">
        <f t="shared" si="20"/>
        <v>100</v>
      </c>
      <c r="H160" s="1940">
        <v>82163</v>
      </c>
      <c r="I160" s="1942">
        <v>2476.31</v>
      </c>
      <c r="J160" s="1942">
        <f t="shared" si="21"/>
        <v>3.013899200369996</v>
      </c>
    </row>
    <row r="161" spans="1:10" ht="19.5" customHeight="1" x14ac:dyDescent="0.2">
      <c r="A161" s="2246">
        <v>18</v>
      </c>
      <c r="B161" s="2245" t="s">
        <v>65</v>
      </c>
      <c r="C161" s="1969" t="s">
        <v>32</v>
      </c>
      <c r="D161" s="1939" t="s">
        <v>830</v>
      </c>
      <c r="E161" s="1940">
        <v>2724</v>
      </c>
      <c r="F161" s="1940">
        <v>2724</v>
      </c>
      <c r="G161" s="1956">
        <f t="shared" si="20"/>
        <v>100</v>
      </c>
      <c r="H161" s="1937">
        <v>62501499</v>
      </c>
      <c r="I161" s="1938">
        <v>31480062.16</v>
      </c>
      <c r="J161" s="1938">
        <f t="shared" si="21"/>
        <v>50.366891456475301</v>
      </c>
    </row>
    <row r="162" spans="1:10" ht="25.5" x14ac:dyDescent="0.2">
      <c r="A162" s="2246">
        <v>19</v>
      </c>
      <c r="B162" s="2245" t="s">
        <v>831</v>
      </c>
      <c r="C162" s="1969" t="s">
        <v>32</v>
      </c>
      <c r="D162" s="1939" t="s">
        <v>832</v>
      </c>
      <c r="E162" s="1940">
        <v>70</v>
      </c>
      <c r="F162" s="1940">
        <v>26</v>
      </c>
      <c r="G162" s="1956">
        <f t="shared" si="20"/>
        <v>37.142857142857146</v>
      </c>
      <c r="H162" s="1940">
        <v>0</v>
      </c>
      <c r="I162" s="1942">
        <v>0</v>
      </c>
      <c r="J162" s="1942"/>
    </row>
    <row r="163" spans="1:10" ht="30.75" customHeight="1" x14ac:dyDescent="0.2">
      <c r="A163" s="2246">
        <v>20</v>
      </c>
      <c r="B163" s="2245" t="s">
        <v>833</v>
      </c>
      <c r="C163" s="1969" t="s">
        <v>32</v>
      </c>
      <c r="D163" s="1939" t="s">
        <v>832</v>
      </c>
      <c r="E163" s="1946">
        <v>9</v>
      </c>
      <c r="F163" s="1946">
        <v>9</v>
      </c>
      <c r="G163" s="1956">
        <f t="shared" si="20"/>
        <v>100</v>
      </c>
      <c r="H163" s="1940">
        <v>0</v>
      </c>
      <c r="I163" s="1942">
        <v>0</v>
      </c>
      <c r="J163" s="1942"/>
    </row>
    <row r="164" spans="1:10" ht="30" customHeight="1" x14ac:dyDescent="0.2">
      <c r="A164" s="2246">
        <v>21</v>
      </c>
      <c r="B164" s="2245" t="s">
        <v>834</v>
      </c>
      <c r="C164" s="1969" t="s">
        <v>32</v>
      </c>
      <c r="D164" s="1945" t="s">
        <v>835</v>
      </c>
      <c r="E164" s="1946">
        <v>300</v>
      </c>
      <c r="F164" s="1946">
        <v>185</v>
      </c>
      <c r="G164" s="1956">
        <f t="shared" si="20"/>
        <v>61.666666666666671</v>
      </c>
      <c r="H164" s="1937">
        <v>1176400</v>
      </c>
      <c r="I164" s="1938">
        <v>158156.20000000001</v>
      </c>
      <c r="J164" s="1938">
        <f t="shared" ref="J164:J172" si="22">+I164/H164*100</f>
        <v>13.444083645018704</v>
      </c>
    </row>
    <row r="165" spans="1:10" ht="51" customHeight="1" x14ac:dyDescent="0.2">
      <c r="A165" s="2246">
        <v>22</v>
      </c>
      <c r="B165" s="2245" t="s">
        <v>836</v>
      </c>
      <c r="C165" s="1969" t="s">
        <v>32</v>
      </c>
      <c r="D165" s="1945" t="s">
        <v>835</v>
      </c>
      <c r="E165" s="1915">
        <v>118</v>
      </c>
      <c r="F165" s="1915">
        <v>88</v>
      </c>
      <c r="G165" s="1956">
        <f t="shared" si="20"/>
        <v>74.576271186440678</v>
      </c>
      <c r="H165" s="1937">
        <v>12563</v>
      </c>
      <c r="I165" s="1938">
        <v>2780.2</v>
      </c>
      <c r="J165" s="1938">
        <f t="shared" si="22"/>
        <v>22.130064475045767</v>
      </c>
    </row>
    <row r="166" spans="1:10" ht="21.75" customHeight="1" x14ac:dyDescent="0.2">
      <c r="A166" s="2301">
        <v>23</v>
      </c>
      <c r="B166" s="2307" t="s">
        <v>837</v>
      </c>
      <c r="C166" s="1969"/>
      <c r="D166" s="1893"/>
      <c r="E166" s="1946"/>
      <c r="F166" s="1946"/>
      <c r="G166" s="1956"/>
      <c r="H166" s="1937">
        <f>SUM(H167:H170)</f>
        <v>98632982</v>
      </c>
      <c r="I166" s="1938">
        <f>SUM(I167:I170)</f>
        <v>43747491.910000004</v>
      </c>
      <c r="J166" s="1938">
        <f t="shared" si="22"/>
        <v>44.3538165661462</v>
      </c>
    </row>
    <row r="167" spans="1:10" ht="25.5" x14ac:dyDescent="0.2">
      <c r="A167" s="2302"/>
      <c r="B167" s="2308"/>
      <c r="C167" s="1969" t="s">
        <v>32</v>
      </c>
      <c r="D167" s="1945" t="s">
        <v>57</v>
      </c>
      <c r="E167" s="1946">
        <v>2083</v>
      </c>
      <c r="F167" s="1946">
        <v>2083</v>
      </c>
      <c r="G167" s="1956">
        <f t="shared" si="20"/>
        <v>100</v>
      </c>
      <c r="H167" s="1940">
        <v>74404389</v>
      </c>
      <c r="I167" s="1942">
        <v>34685717.539999999</v>
      </c>
      <c r="J167" s="1942">
        <f t="shared" si="22"/>
        <v>46.617838014905274</v>
      </c>
    </row>
    <row r="168" spans="1:10" ht="28.5" customHeight="1" x14ac:dyDescent="0.2">
      <c r="A168" s="2302"/>
      <c r="B168" s="2308"/>
      <c r="C168" s="1969" t="s">
        <v>32</v>
      </c>
      <c r="D168" s="1945" t="s">
        <v>63</v>
      </c>
      <c r="E168" s="1946">
        <v>2064</v>
      </c>
      <c r="F168" s="1946">
        <v>2064</v>
      </c>
      <c r="G168" s="1956">
        <f t="shared" si="20"/>
        <v>100</v>
      </c>
      <c r="H168" s="1940">
        <v>23345305</v>
      </c>
      <c r="I168" s="1942">
        <v>8702985.5500000007</v>
      </c>
      <c r="J168" s="1942">
        <f t="shared" si="22"/>
        <v>37.279382513957302</v>
      </c>
    </row>
    <row r="169" spans="1:10" ht="21.75" customHeight="1" x14ac:dyDescent="0.2">
      <c r="A169" s="2302"/>
      <c r="B169" s="2308"/>
      <c r="C169" s="1969" t="s">
        <v>32</v>
      </c>
      <c r="D169" s="1945" t="s">
        <v>838</v>
      </c>
      <c r="E169" s="1946">
        <v>3</v>
      </c>
      <c r="F169" s="1946">
        <v>3</v>
      </c>
      <c r="G169" s="1956">
        <f t="shared" si="20"/>
        <v>100</v>
      </c>
      <c r="H169" s="1940">
        <v>503168</v>
      </c>
      <c r="I169" s="1942">
        <v>168728.82</v>
      </c>
      <c r="J169" s="1942">
        <f t="shared" si="22"/>
        <v>33.533297030017813</v>
      </c>
    </row>
    <row r="170" spans="1:10" ht="21.75" customHeight="1" x14ac:dyDescent="0.2">
      <c r="A170" s="2303"/>
      <c r="B170" s="2311"/>
      <c r="C170" s="1969" t="s">
        <v>32</v>
      </c>
      <c r="D170" s="1945" t="s">
        <v>839</v>
      </c>
      <c r="E170" s="1915">
        <v>34</v>
      </c>
      <c r="F170" s="1915">
        <v>34</v>
      </c>
      <c r="G170" s="1956">
        <f t="shared" si="20"/>
        <v>100</v>
      </c>
      <c r="H170" s="1940">
        <v>380120</v>
      </c>
      <c r="I170" s="1942">
        <v>190060</v>
      </c>
      <c r="J170" s="1942">
        <f t="shared" si="22"/>
        <v>50</v>
      </c>
    </row>
    <row r="171" spans="1:10" ht="21.75" customHeight="1" x14ac:dyDescent="0.2">
      <c r="A171" s="2312">
        <v>24</v>
      </c>
      <c r="B171" s="2310" t="s">
        <v>840</v>
      </c>
      <c r="C171" s="1969"/>
      <c r="D171" s="1893"/>
      <c r="E171" s="1946"/>
      <c r="F171" s="1946"/>
      <c r="G171" s="1956"/>
      <c r="H171" s="1937">
        <f>SUM(H172:H173)</f>
        <v>330654929</v>
      </c>
      <c r="I171" s="1971">
        <f>SUM(I172:I173)</f>
        <v>152208368.52000001</v>
      </c>
      <c r="J171" s="1938">
        <f t="shared" si="22"/>
        <v>46.032390619527106</v>
      </c>
    </row>
    <row r="172" spans="1:10" ht="25.5" x14ac:dyDescent="0.2">
      <c r="A172" s="2312"/>
      <c r="B172" s="2310"/>
      <c r="C172" s="1969" t="s">
        <v>32</v>
      </c>
      <c r="D172" s="1945" t="s">
        <v>57</v>
      </c>
      <c r="E172" s="1946">
        <v>2817</v>
      </c>
      <c r="F172" s="1946">
        <v>2817</v>
      </c>
      <c r="G172" s="1956">
        <f t="shared" si="20"/>
        <v>100</v>
      </c>
      <c r="H172" s="1940">
        <v>252622518</v>
      </c>
      <c r="I172" s="1972">
        <v>121925312.31</v>
      </c>
      <c r="J172" s="1942">
        <f t="shared" si="22"/>
        <v>48.263833832105178</v>
      </c>
    </row>
    <row r="173" spans="1:10" ht="21.75" customHeight="1" x14ac:dyDescent="0.2">
      <c r="A173" s="2312"/>
      <c r="B173" s="2310"/>
      <c r="C173" s="1969" t="s">
        <v>32</v>
      </c>
      <c r="D173" s="1945" t="s">
        <v>63</v>
      </c>
      <c r="E173" s="1946">
        <v>4817</v>
      </c>
      <c r="F173" s="1946">
        <v>4817</v>
      </c>
      <c r="G173" s="1956">
        <f t="shared" si="20"/>
        <v>100</v>
      </c>
      <c r="H173" s="1940">
        <v>78032411</v>
      </c>
      <c r="I173" s="1942">
        <v>30283056.210000001</v>
      </c>
      <c r="J173" s="1942">
        <f t="shared" ref="J173:J179" si="23">+I173/H173*100</f>
        <v>38.808305192569279</v>
      </c>
    </row>
    <row r="174" spans="1:10" ht="21.75" customHeight="1" x14ac:dyDescent="0.2">
      <c r="A174" s="2312">
        <v>25</v>
      </c>
      <c r="B174" s="2310" t="s">
        <v>842</v>
      </c>
      <c r="C174" s="1969"/>
      <c r="D174" s="1973"/>
      <c r="E174" s="1916"/>
      <c r="F174" s="1916"/>
      <c r="G174" s="1956"/>
      <c r="H174" s="1937">
        <f>SUM(H175:H176)</f>
        <v>197865931</v>
      </c>
      <c r="I174" s="1938">
        <f>SUM(I175:I176)</f>
        <v>86643052.649999991</v>
      </c>
      <c r="J174" s="1938">
        <f t="shared" si="23"/>
        <v>43.788767582227173</v>
      </c>
    </row>
    <row r="175" spans="1:10" ht="25.5" x14ac:dyDescent="0.2">
      <c r="A175" s="2312"/>
      <c r="B175" s="2310"/>
      <c r="C175" s="1969" t="s">
        <v>32</v>
      </c>
      <c r="D175" s="1945" t="s">
        <v>57</v>
      </c>
      <c r="E175" s="1946">
        <v>689</v>
      </c>
      <c r="F175" s="1946">
        <v>689</v>
      </c>
      <c r="G175" s="1956">
        <f t="shared" si="20"/>
        <v>100</v>
      </c>
      <c r="H175" s="1940">
        <v>154437132</v>
      </c>
      <c r="I175" s="1942">
        <v>64003952.169999987</v>
      </c>
      <c r="J175" s="1942">
        <f t="shared" si="23"/>
        <v>41.443370089260654</v>
      </c>
    </row>
    <row r="176" spans="1:10" ht="21.75" customHeight="1" x14ac:dyDescent="0.2">
      <c r="A176" s="2312"/>
      <c r="B176" s="2310"/>
      <c r="C176" s="1969" t="s">
        <v>32</v>
      </c>
      <c r="D176" s="1945" t="s">
        <v>63</v>
      </c>
      <c r="E176" s="1946">
        <v>3855</v>
      </c>
      <c r="F176" s="1946">
        <v>3855</v>
      </c>
      <c r="G176" s="1956">
        <f t="shared" si="20"/>
        <v>100</v>
      </c>
      <c r="H176" s="1940">
        <v>43428799</v>
      </c>
      <c r="I176" s="1942">
        <v>22639100.48</v>
      </c>
      <c r="J176" s="1942">
        <f t="shared" si="23"/>
        <v>52.129234520162541</v>
      </c>
    </row>
    <row r="177" spans="1:10" ht="21.75" customHeight="1" x14ac:dyDescent="0.2">
      <c r="A177" s="2301">
        <v>26</v>
      </c>
      <c r="B177" s="2307" t="s">
        <v>843</v>
      </c>
      <c r="C177" s="1969"/>
      <c r="D177" s="1945"/>
      <c r="E177" s="1946"/>
      <c r="F177" s="1946"/>
      <c r="G177" s="1956"/>
      <c r="H177" s="1937">
        <f>SUM(H178:H180)</f>
        <v>531946</v>
      </c>
      <c r="I177" s="1938">
        <f>SUM(I178:I180)</f>
        <v>210215.32999999996</v>
      </c>
      <c r="J177" s="1938">
        <f t="shared" si="23"/>
        <v>39.518171017358902</v>
      </c>
    </row>
    <row r="178" spans="1:10" ht="21.75" customHeight="1" x14ac:dyDescent="0.2">
      <c r="A178" s="2302"/>
      <c r="B178" s="2308"/>
      <c r="C178" s="1969" t="s">
        <v>32</v>
      </c>
      <c r="D178" s="1945" t="s">
        <v>66</v>
      </c>
      <c r="E178" s="1946">
        <v>1088</v>
      </c>
      <c r="F178" s="1946">
        <v>1088</v>
      </c>
      <c r="G178" s="1956">
        <f t="shared" si="20"/>
        <v>100</v>
      </c>
      <c r="H178" s="1940">
        <v>523446</v>
      </c>
      <c r="I178" s="1942">
        <v>207032.02999999997</v>
      </c>
      <c r="J178" s="1942">
        <f t="shared" si="23"/>
        <v>39.551745547773784</v>
      </c>
    </row>
    <row r="179" spans="1:10" ht="21.75" customHeight="1" x14ac:dyDescent="0.2">
      <c r="A179" s="2302"/>
      <c r="B179" s="2308"/>
      <c r="C179" s="1969" t="s">
        <v>32</v>
      </c>
      <c r="D179" s="1945" t="s">
        <v>63</v>
      </c>
      <c r="E179" s="1946">
        <v>1884</v>
      </c>
      <c r="F179" s="1946">
        <v>1884</v>
      </c>
      <c r="G179" s="1956">
        <f t="shared" si="20"/>
        <v>100</v>
      </c>
      <c r="H179" s="1940">
        <v>8500</v>
      </c>
      <c r="I179" s="1942">
        <v>3183.3</v>
      </c>
      <c r="J179" s="1942">
        <f t="shared" si="23"/>
        <v>37.45058823529412</v>
      </c>
    </row>
    <row r="180" spans="1:10" ht="28.5" customHeight="1" x14ac:dyDescent="0.2">
      <c r="A180" s="2303"/>
      <c r="B180" s="2311"/>
      <c r="C180" s="1969" t="s">
        <v>32</v>
      </c>
      <c r="D180" s="1945" t="s">
        <v>806</v>
      </c>
      <c r="E180" s="1946">
        <v>20953</v>
      </c>
      <c r="F180" s="1946">
        <v>20953</v>
      </c>
      <c r="G180" s="1956">
        <f t="shared" si="20"/>
        <v>100</v>
      </c>
      <c r="H180" s="1974"/>
      <c r="I180" s="1974"/>
      <c r="J180" s="1974"/>
    </row>
    <row r="181" spans="1:10" ht="21.75" customHeight="1" x14ac:dyDescent="0.2">
      <c r="A181" s="2301">
        <v>27</v>
      </c>
      <c r="B181" s="2310" t="s">
        <v>844</v>
      </c>
      <c r="C181" s="1969"/>
      <c r="D181" s="1945"/>
      <c r="E181" s="1946"/>
      <c r="F181" s="1946"/>
      <c r="G181" s="1956"/>
      <c r="H181" s="1937">
        <f>SUM(H182:H184)</f>
        <v>40812</v>
      </c>
      <c r="I181" s="1938">
        <f>SUM(I182:I184)</f>
        <v>2129.6999999999998</v>
      </c>
      <c r="J181" s="1938">
        <f>+I181/H181*100</f>
        <v>5.2183181417230227</v>
      </c>
    </row>
    <row r="182" spans="1:10" ht="21.75" customHeight="1" x14ac:dyDescent="0.2">
      <c r="A182" s="2302"/>
      <c r="B182" s="2310"/>
      <c r="C182" s="1969" t="s">
        <v>32</v>
      </c>
      <c r="D182" s="1945" t="s">
        <v>66</v>
      </c>
      <c r="E182" s="1946">
        <v>2818</v>
      </c>
      <c r="F182" s="1946">
        <v>194</v>
      </c>
      <c r="G182" s="1956">
        <f t="shared" si="20"/>
        <v>6.8843151171043298</v>
      </c>
      <c r="H182" s="1940">
        <v>40812</v>
      </c>
      <c r="I182" s="1942">
        <v>2129.6999999999998</v>
      </c>
      <c r="J182" s="1942">
        <f>+I182/H182*100</f>
        <v>5.2183181417230227</v>
      </c>
    </row>
    <row r="183" spans="1:10" ht="21.75" customHeight="1" x14ac:dyDescent="0.2">
      <c r="A183" s="2302"/>
      <c r="B183" s="2310"/>
      <c r="C183" s="1969" t="s">
        <v>32</v>
      </c>
      <c r="D183" s="1945" t="s">
        <v>63</v>
      </c>
      <c r="E183" s="1946">
        <v>1909</v>
      </c>
      <c r="F183" s="1946"/>
      <c r="G183" s="1956">
        <f t="shared" si="20"/>
        <v>0</v>
      </c>
      <c r="H183" s="1975"/>
      <c r="I183" s="1974"/>
      <c r="J183" s="1975"/>
    </row>
    <row r="184" spans="1:10" ht="21.75" customHeight="1" x14ac:dyDescent="0.2">
      <c r="A184" s="2303"/>
      <c r="B184" s="2310"/>
      <c r="C184" s="1969" t="s">
        <v>32</v>
      </c>
      <c r="D184" s="1945" t="s">
        <v>806</v>
      </c>
      <c r="E184" s="1946">
        <v>34143</v>
      </c>
      <c r="F184" s="1946"/>
      <c r="G184" s="1956">
        <f t="shared" si="20"/>
        <v>0</v>
      </c>
      <c r="H184" s="1940">
        <v>0</v>
      </c>
      <c r="I184" s="1942">
        <v>0</v>
      </c>
      <c r="J184" s="1942"/>
    </row>
    <row r="185" spans="1:10" ht="21.75" customHeight="1" x14ac:dyDescent="0.2">
      <c r="A185" s="2312">
        <v>28</v>
      </c>
      <c r="B185" s="2310" t="s">
        <v>845</v>
      </c>
      <c r="C185" s="1969"/>
      <c r="D185" s="1945"/>
      <c r="E185" s="1946">
        <v>0</v>
      </c>
      <c r="F185" s="1946">
        <v>0</v>
      </c>
      <c r="G185" s="1956"/>
      <c r="H185" s="1937">
        <f>SUM(H186:H188)</f>
        <v>2257076</v>
      </c>
      <c r="I185" s="1938">
        <f>SUM(I186:I188)</f>
        <v>704413.25999999989</v>
      </c>
      <c r="J185" s="1938">
        <f>+I185/H185*100</f>
        <v>31.209106826708531</v>
      </c>
    </row>
    <row r="186" spans="1:10" ht="21.75" customHeight="1" x14ac:dyDescent="0.2">
      <c r="A186" s="2312"/>
      <c r="B186" s="2310"/>
      <c r="C186" s="1969" t="s">
        <v>32</v>
      </c>
      <c r="D186" s="1945" t="s">
        <v>66</v>
      </c>
      <c r="E186" s="1946">
        <v>2368</v>
      </c>
      <c r="F186" s="1946">
        <v>2368</v>
      </c>
      <c r="G186" s="1956">
        <f t="shared" si="20"/>
        <v>100</v>
      </c>
      <c r="H186" s="1940">
        <v>2257076</v>
      </c>
      <c r="I186" s="1942">
        <v>704413.25999999989</v>
      </c>
      <c r="J186" s="1942">
        <f>+I186/H186*100</f>
        <v>31.209106826708531</v>
      </c>
    </row>
    <row r="187" spans="1:10" ht="21.75" customHeight="1" x14ac:dyDescent="0.2">
      <c r="A187" s="2312"/>
      <c r="B187" s="2310"/>
      <c r="C187" s="1969" t="s">
        <v>32</v>
      </c>
      <c r="D187" s="1945" t="s">
        <v>63</v>
      </c>
      <c r="E187" s="1946">
        <v>2803</v>
      </c>
      <c r="F187" s="1946">
        <v>2803</v>
      </c>
      <c r="G187" s="1956">
        <f t="shared" si="20"/>
        <v>100</v>
      </c>
      <c r="H187" s="1974"/>
      <c r="I187" s="1974"/>
      <c r="J187" s="1974"/>
    </row>
    <row r="188" spans="1:10" ht="21.75" customHeight="1" x14ac:dyDescent="0.2">
      <c r="A188" s="2312"/>
      <c r="B188" s="2310"/>
      <c r="C188" s="1969" t="s">
        <v>32</v>
      </c>
      <c r="D188" s="1945" t="s">
        <v>806</v>
      </c>
      <c r="E188" s="1946">
        <v>51149</v>
      </c>
      <c r="F188" s="1946">
        <v>51149</v>
      </c>
      <c r="G188" s="1956">
        <f t="shared" si="20"/>
        <v>100</v>
      </c>
      <c r="H188" s="1940">
        <v>0</v>
      </c>
      <c r="I188" s="1942">
        <v>0</v>
      </c>
      <c r="J188" s="1942"/>
    </row>
    <row r="189" spans="1:10" ht="21.75" customHeight="1" x14ac:dyDescent="0.2">
      <c r="A189" s="2312">
        <v>29</v>
      </c>
      <c r="B189" s="2310" t="s">
        <v>846</v>
      </c>
      <c r="C189" s="1969"/>
      <c r="D189" s="1945"/>
      <c r="E189" s="1946"/>
      <c r="F189" s="1946"/>
      <c r="G189" s="1956"/>
      <c r="H189" s="1937">
        <f>SUM(H190:H192)</f>
        <v>819240</v>
      </c>
      <c r="I189" s="1938">
        <f>SUM(I190:I192)</f>
        <v>418198.07</v>
      </c>
      <c r="J189" s="1938">
        <f>+I189/H189*100</f>
        <v>51.047076558761781</v>
      </c>
    </row>
    <row r="190" spans="1:10" ht="21.75" customHeight="1" x14ac:dyDescent="0.2">
      <c r="A190" s="2312"/>
      <c r="B190" s="2310"/>
      <c r="C190" s="1969" t="s">
        <v>32</v>
      </c>
      <c r="D190" s="1945" t="s">
        <v>66</v>
      </c>
      <c r="E190" s="1946">
        <v>651</v>
      </c>
      <c r="F190" s="1946">
        <v>651</v>
      </c>
      <c r="G190" s="1956">
        <f t="shared" si="20"/>
        <v>100</v>
      </c>
      <c r="H190" s="1940">
        <v>819240</v>
      </c>
      <c r="I190" s="1942">
        <v>418198.07</v>
      </c>
      <c r="J190" s="1942">
        <f>+I190/H190*100</f>
        <v>51.047076558761781</v>
      </c>
    </row>
    <row r="191" spans="1:10" ht="28.5" customHeight="1" x14ac:dyDescent="0.2">
      <c r="A191" s="2312"/>
      <c r="B191" s="2310"/>
      <c r="C191" s="1969" t="s">
        <v>32</v>
      </c>
      <c r="D191" s="1945" t="s">
        <v>63</v>
      </c>
      <c r="E191" s="1946">
        <v>2477</v>
      </c>
      <c r="F191" s="1946">
        <v>2477</v>
      </c>
      <c r="G191" s="1956">
        <f t="shared" si="20"/>
        <v>100</v>
      </c>
      <c r="H191" s="1974"/>
      <c r="I191" s="1974"/>
      <c r="J191" s="1974"/>
    </row>
    <row r="192" spans="1:10" ht="30.75" customHeight="1" x14ac:dyDescent="0.2">
      <c r="A192" s="2312"/>
      <c r="B192" s="2310"/>
      <c r="C192" s="1969" t="s">
        <v>32</v>
      </c>
      <c r="D192" s="1945" t="s">
        <v>806</v>
      </c>
      <c r="E192" s="1946">
        <v>35652</v>
      </c>
      <c r="F192" s="1946">
        <v>35652</v>
      </c>
      <c r="G192" s="1956">
        <f t="shared" si="20"/>
        <v>100</v>
      </c>
      <c r="H192" s="1940">
        <v>0</v>
      </c>
      <c r="I192" s="1942">
        <v>0</v>
      </c>
      <c r="J192" s="1942"/>
    </row>
    <row r="193" spans="1:10" ht="21.75" customHeight="1" x14ac:dyDescent="0.2">
      <c r="A193" s="2246">
        <v>30</v>
      </c>
      <c r="B193" s="2245" t="s">
        <v>847</v>
      </c>
      <c r="C193" s="1969" t="s">
        <v>32</v>
      </c>
      <c r="D193" s="1945" t="s">
        <v>63</v>
      </c>
      <c r="E193" s="1946">
        <v>299</v>
      </c>
      <c r="F193" s="1946">
        <v>299</v>
      </c>
      <c r="G193" s="1956">
        <f t="shared" si="20"/>
        <v>100</v>
      </c>
      <c r="H193" s="1937">
        <v>18756</v>
      </c>
      <c r="I193" s="1938">
        <v>5119.8500000000004</v>
      </c>
      <c r="J193" s="1938">
        <f>+I193/H193*100</f>
        <v>27.297131584559608</v>
      </c>
    </row>
    <row r="194" spans="1:10" ht="21.75" customHeight="1" x14ac:dyDescent="0.2">
      <c r="A194" s="2246">
        <v>31</v>
      </c>
      <c r="B194" s="2245" t="s">
        <v>848</v>
      </c>
      <c r="C194" s="1969" t="s">
        <v>32</v>
      </c>
      <c r="D194" s="1945" t="s">
        <v>63</v>
      </c>
      <c r="E194" s="1946">
        <v>1362</v>
      </c>
      <c r="F194" s="1946">
        <v>1362</v>
      </c>
      <c r="G194" s="1956">
        <f t="shared" si="20"/>
        <v>100</v>
      </c>
      <c r="H194" s="1937">
        <v>34820.29</v>
      </c>
      <c r="I194" s="1938">
        <v>11279</v>
      </c>
      <c r="J194" s="1938">
        <f>+I194/H194*100</f>
        <v>32.392033495413166</v>
      </c>
    </row>
    <row r="195" spans="1:10" ht="21.75" customHeight="1" x14ac:dyDescent="0.2">
      <c r="A195" s="2246">
        <v>32</v>
      </c>
      <c r="B195" s="2245" t="s">
        <v>849</v>
      </c>
      <c r="C195" s="1969" t="s">
        <v>32</v>
      </c>
      <c r="D195" s="1945" t="s">
        <v>63</v>
      </c>
      <c r="E195" s="1946">
        <v>1078.5</v>
      </c>
      <c r="F195" s="1946">
        <v>1078.5</v>
      </c>
      <c r="G195" s="1956">
        <f t="shared" si="20"/>
        <v>100</v>
      </c>
      <c r="H195" s="1937">
        <v>31456</v>
      </c>
      <c r="I195" s="1938">
        <v>6639</v>
      </c>
      <c r="J195" s="1938">
        <f>+I195/H195*100</f>
        <v>21.105671414038657</v>
      </c>
    </row>
    <row r="196" spans="1:10" ht="21.75" customHeight="1" x14ac:dyDescent="0.2">
      <c r="A196" s="2312">
        <v>33</v>
      </c>
      <c r="B196" s="2310" t="s">
        <v>850</v>
      </c>
      <c r="C196" s="1969"/>
      <c r="D196" s="1962"/>
      <c r="E196" s="1946"/>
      <c r="F196" s="1946"/>
      <c r="G196" s="1956"/>
      <c r="H196" s="1937">
        <f>SUM(H197:H198)</f>
        <v>819032</v>
      </c>
      <c r="I196" s="1938">
        <f>SUM(I197:I198)</f>
        <v>210826.41999999998</v>
      </c>
      <c r="J196" s="1938">
        <f>+I196/H196*100</f>
        <v>25.740925873470143</v>
      </c>
    </row>
    <row r="197" spans="1:10" ht="25.5" x14ac:dyDescent="0.2">
      <c r="A197" s="2312"/>
      <c r="B197" s="2310"/>
      <c r="C197" s="1969" t="s">
        <v>32</v>
      </c>
      <c r="D197" s="1945" t="s">
        <v>57</v>
      </c>
      <c r="E197" s="1946">
        <v>243</v>
      </c>
      <c r="F197" s="1946">
        <v>124</v>
      </c>
      <c r="G197" s="1956">
        <f t="shared" si="20"/>
        <v>51.028806584362144</v>
      </c>
      <c r="H197" s="1940">
        <v>819032</v>
      </c>
      <c r="I197" s="1942">
        <v>210826.41999999998</v>
      </c>
      <c r="J197" s="1942">
        <f>+I197/H197*100</f>
        <v>25.740925873470143</v>
      </c>
    </row>
    <row r="198" spans="1:10" ht="25.5" x14ac:dyDescent="0.2">
      <c r="A198" s="2312"/>
      <c r="B198" s="2310"/>
      <c r="C198" s="1969" t="s">
        <v>32</v>
      </c>
      <c r="D198" s="1945" t="s">
        <v>812</v>
      </c>
      <c r="E198" s="1946">
        <v>110</v>
      </c>
      <c r="F198" s="1946">
        <v>0</v>
      </c>
      <c r="G198" s="1956">
        <f t="shared" si="20"/>
        <v>0</v>
      </c>
      <c r="H198" s="1974"/>
      <c r="I198" s="1974"/>
      <c r="J198" s="1974"/>
    </row>
    <row r="199" spans="1:10" ht="21.75" customHeight="1" x14ac:dyDescent="0.2">
      <c r="A199" s="2312">
        <v>34</v>
      </c>
      <c r="B199" s="2310" t="s">
        <v>851</v>
      </c>
      <c r="C199" s="1969"/>
      <c r="D199" s="1945"/>
      <c r="E199" s="1946"/>
      <c r="F199" s="1946"/>
      <c r="G199" s="1956"/>
      <c r="H199" s="1937">
        <v>10362723</v>
      </c>
      <c r="I199" s="1938">
        <v>3287957.96</v>
      </c>
      <c r="J199" s="1938">
        <f>+I199/H199*100</f>
        <v>31.728706441347509</v>
      </c>
    </row>
    <row r="200" spans="1:10" ht="25.5" x14ac:dyDescent="0.2">
      <c r="A200" s="2312"/>
      <c r="B200" s="2310"/>
      <c r="C200" s="1969" t="s">
        <v>32</v>
      </c>
      <c r="D200" s="1945" t="s">
        <v>57</v>
      </c>
      <c r="E200" s="1946">
        <v>746</v>
      </c>
      <c r="F200" s="1946">
        <v>746</v>
      </c>
      <c r="G200" s="1956">
        <f t="shared" si="20"/>
        <v>100</v>
      </c>
      <c r="H200" s="1940">
        <v>10362723</v>
      </c>
      <c r="I200" s="1942">
        <v>3287957.96</v>
      </c>
      <c r="J200" s="1942">
        <f>+I200/H200*100</f>
        <v>31.728706441347509</v>
      </c>
    </row>
    <row r="201" spans="1:10" ht="25.5" x14ac:dyDescent="0.2">
      <c r="A201" s="2312"/>
      <c r="B201" s="2310"/>
      <c r="C201" s="1969" t="s">
        <v>32</v>
      </c>
      <c r="D201" s="1945" t="s">
        <v>812</v>
      </c>
      <c r="E201" s="1946">
        <v>473</v>
      </c>
      <c r="F201" s="1946">
        <v>146</v>
      </c>
      <c r="G201" s="1956">
        <f t="shared" si="20"/>
        <v>30.866807610993657</v>
      </c>
      <c r="H201" s="1976"/>
      <c r="I201" s="1976"/>
      <c r="J201" s="1976"/>
    </row>
    <row r="202" spans="1:10" ht="21.75" customHeight="1" x14ac:dyDescent="0.2">
      <c r="A202" s="2301">
        <v>35</v>
      </c>
      <c r="B202" s="2307" t="s">
        <v>880</v>
      </c>
      <c r="C202" s="1969"/>
      <c r="D202" s="1945"/>
      <c r="E202" s="1946"/>
      <c r="F202" s="1946"/>
      <c r="G202" s="1956"/>
      <c r="H202" s="1937">
        <v>450984</v>
      </c>
      <c r="I202" s="1938">
        <v>173995.19999999998</v>
      </c>
      <c r="J202" s="1938">
        <f>+I202/H202*100</f>
        <v>38.5812356979405</v>
      </c>
    </row>
    <row r="203" spans="1:10" ht="25.5" x14ac:dyDescent="0.2">
      <c r="A203" s="2302"/>
      <c r="B203" s="2308"/>
      <c r="C203" s="1969" t="s">
        <v>32</v>
      </c>
      <c r="D203" s="1968" t="s">
        <v>57</v>
      </c>
      <c r="E203" s="1946"/>
      <c r="F203" s="1946"/>
      <c r="G203" s="1956"/>
      <c r="H203" s="1940">
        <v>0</v>
      </c>
      <c r="I203" s="1942">
        <v>0</v>
      </c>
      <c r="J203" s="1942"/>
    </row>
    <row r="204" spans="1:10" ht="47.25" customHeight="1" x14ac:dyDescent="0.2">
      <c r="A204" s="2303"/>
      <c r="B204" s="2311"/>
      <c r="C204" s="1969" t="s">
        <v>32</v>
      </c>
      <c r="D204" s="1968" t="s">
        <v>63</v>
      </c>
      <c r="E204" s="1946">
        <v>137</v>
      </c>
      <c r="F204" s="1946">
        <v>137</v>
      </c>
      <c r="G204" s="1956">
        <f t="shared" si="20"/>
        <v>100</v>
      </c>
      <c r="H204" s="1940">
        <v>450984</v>
      </c>
      <c r="I204" s="1942">
        <v>173995.19999999998</v>
      </c>
      <c r="J204" s="1942">
        <f t="shared" ref="J204:J213" si="24">+I204/H204*100</f>
        <v>38.5812356979405</v>
      </c>
    </row>
    <row r="205" spans="1:10" ht="30.75" customHeight="1" x14ac:dyDescent="0.2">
      <c r="A205" s="2312">
        <v>36</v>
      </c>
      <c r="B205" s="2310" t="s">
        <v>852</v>
      </c>
      <c r="C205" s="1969"/>
      <c r="D205" s="1939"/>
      <c r="E205" s="1977"/>
      <c r="F205" s="1977"/>
      <c r="G205" s="1956"/>
      <c r="H205" s="1937">
        <v>85593</v>
      </c>
      <c r="I205" s="1938">
        <v>74070</v>
      </c>
      <c r="J205" s="1938">
        <f t="shared" si="24"/>
        <v>86.537450492446808</v>
      </c>
    </row>
    <row r="206" spans="1:10" ht="21.75" customHeight="1" x14ac:dyDescent="0.2">
      <c r="A206" s="2312"/>
      <c r="B206" s="2310"/>
      <c r="C206" s="1969" t="s">
        <v>32</v>
      </c>
      <c r="D206" s="1939" t="s">
        <v>853</v>
      </c>
      <c r="E206" s="1946">
        <v>39321</v>
      </c>
      <c r="F206" s="1946">
        <v>39321</v>
      </c>
      <c r="G206" s="1956">
        <f t="shared" si="20"/>
        <v>100</v>
      </c>
      <c r="H206" s="1940">
        <v>65661</v>
      </c>
      <c r="I206" s="1942">
        <v>61592</v>
      </c>
      <c r="J206" s="1942">
        <f t="shared" si="24"/>
        <v>93.803018534594358</v>
      </c>
    </row>
    <row r="207" spans="1:10" ht="21.75" customHeight="1" x14ac:dyDescent="0.2">
      <c r="A207" s="2312"/>
      <c r="B207" s="2310"/>
      <c r="C207" s="1969" t="s">
        <v>32</v>
      </c>
      <c r="D207" s="1939" t="s">
        <v>854</v>
      </c>
      <c r="E207" s="1940">
        <v>72</v>
      </c>
      <c r="F207" s="1940">
        <v>72</v>
      </c>
      <c r="G207" s="1956">
        <f t="shared" si="20"/>
        <v>100</v>
      </c>
      <c r="H207" s="1940">
        <v>7000</v>
      </c>
      <c r="I207" s="1942">
        <v>500</v>
      </c>
      <c r="J207" s="1942">
        <f t="shared" si="24"/>
        <v>7.1428571428571423</v>
      </c>
    </row>
    <row r="208" spans="1:10" ht="21.75" customHeight="1" x14ac:dyDescent="0.2">
      <c r="A208" s="2312"/>
      <c r="B208" s="2310"/>
      <c r="C208" s="1969" t="s">
        <v>32</v>
      </c>
      <c r="D208" s="1939" t="s">
        <v>841</v>
      </c>
      <c r="E208" s="1940">
        <v>8097</v>
      </c>
      <c r="F208" s="1940">
        <v>8097</v>
      </c>
      <c r="G208" s="1956">
        <f t="shared" si="20"/>
        <v>100</v>
      </c>
      <c r="H208" s="1940">
        <v>12932</v>
      </c>
      <c r="I208" s="1942">
        <v>11978</v>
      </c>
      <c r="J208" s="1942">
        <f t="shared" si="24"/>
        <v>92.622950819672127</v>
      </c>
    </row>
    <row r="209" spans="1:10" ht="21.75" customHeight="1" x14ac:dyDescent="0.2">
      <c r="A209" s="2312">
        <v>37</v>
      </c>
      <c r="B209" s="2310" t="s">
        <v>855</v>
      </c>
      <c r="C209" s="1969"/>
      <c r="D209" s="1978"/>
      <c r="E209" s="1940"/>
      <c r="F209" s="1940"/>
      <c r="G209" s="1956"/>
      <c r="H209" s="1937">
        <v>209364</v>
      </c>
      <c r="I209" s="1938">
        <v>166746</v>
      </c>
      <c r="J209" s="1938">
        <f t="shared" si="24"/>
        <v>79.644064882214707</v>
      </c>
    </row>
    <row r="210" spans="1:10" ht="21.75" customHeight="1" x14ac:dyDescent="0.2">
      <c r="A210" s="2312"/>
      <c r="B210" s="2310"/>
      <c r="C210" s="1969" t="s">
        <v>32</v>
      </c>
      <c r="D210" s="1939" t="s">
        <v>853</v>
      </c>
      <c r="E210" s="1940">
        <v>104621</v>
      </c>
      <c r="F210" s="1940">
        <v>104621</v>
      </c>
      <c r="G210" s="1956">
        <f t="shared" si="20"/>
        <v>100</v>
      </c>
      <c r="H210" s="1940">
        <v>161933</v>
      </c>
      <c r="I210" s="1942">
        <v>130903</v>
      </c>
      <c r="J210" s="1942">
        <f t="shared" si="24"/>
        <v>80.837753885866377</v>
      </c>
    </row>
    <row r="211" spans="1:10" ht="21.75" customHeight="1" x14ac:dyDescent="0.2">
      <c r="A211" s="2312"/>
      <c r="B211" s="2310"/>
      <c r="C211" s="1969" t="s">
        <v>32</v>
      </c>
      <c r="D211" s="1939" t="s">
        <v>841</v>
      </c>
      <c r="E211" s="1940">
        <v>24560</v>
      </c>
      <c r="F211" s="1940">
        <v>24560</v>
      </c>
      <c r="G211" s="1956">
        <f t="shared" si="20"/>
        <v>100</v>
      </c>
      <c r="H211" s="1940">
        <v>47431</v>
      </c>
      <c r="I211" s="1942">
        <v>35843</v>
      </c>
      <c r="J211" s="1942">
        <f t="shared" si="24"/>
        <v>75.568720878750185</v>
      </c>
    </row>
    <row r="212" spans="1:10" ht="21.75" customHeight="1" x14ac:dyDescent="0.2">
      <c r="A212" s="2312">
        <v>38</v>
      </c>
      <c r="B212" s="2310" t="s">
        <v>856</v>
      </c>
      <c r="C212" s="1969"/>
      <c r="D212" s="1939"/>
      <c r="E212" s="1940"/>
      <c r="F212" s="1940"/>
      <c r="G212" s="1956"/>
      <c r="H212" s="1937">
        <v>133769</v>
      </c>
      <c r="I212" s="1938">
        <v>110897</v>
      </c>
      <c r="J212" s="1938">
        <f t="shared" si="24"/>
        <v>82.90186814583349</v>
      </c>
    </row>
    <row r="213" spans="1:10" ht="21.75" customHeight="1" x14ac:dyDescent="0.2">
      <c r="A213" s="2312"/>
      <c r="B213" s="2310"/>
      <c r="C213" s="1969" t="s">
        <v>32</v>
      </c>
      <c r="D213" s="1939" t="s">
        <v>853</v>
      </c>
      <c r="E213" s="1940">
        <v>70318</v>
      </c>
      <c r="F213" s="1940">
        <v>70318</v>
      </c>
      <c r="G213" s="1956">
        <f t="shared" si="20"/>
        <v>100</v>
      </c>
      <c r="H213" s="1940">
        <v>101543</v>
      </c>
      <c r="I213" s="1942">
        <v>101171</v>
      </c>
      <c r="J213" s="1942">
        <f t="shared" si="24"/>
        <v>99.633652738248827</v>
      </c>
    </row>
    <row r="214" spans="1:10" ht="21.75" customHeight="1" x14ac:dyDescent="0.2">
      <c r="A214" s="2312"/>
      <c r="B214" s="2310"/>
      <c r="C214" s="1969" t="s">
        <v>32</v>
      </c>
      <c r="D214" s="1939" t="s">
        <v>804</v>
      </c>
      <c r="E214" s="1940"/>
      <c r="F214" s="1940"/>
      <c r="G214" s="1956"/>
      <c r="H214" s="1974"/>
      <c r="I214" s="1974"/>
      <c r="J214" s="1974"/>
    </row>
    <row r="215" spans="1:10" ht="21.75" customHeight="1" x14ac:dyDescent="0.2">
      <c r="A215" s="2312"/>
      <c r="B215" s="2310"/>
      <c r="C215" s="1969" t="s">
        <v>32</v>
      </c>
      <c r="D215" s="1939" t="s">
        <v>841</v>
      </c>
      <c r="E215" s="1940">
        <v>15879</v>
      </c>
      <c r="F215" s="1940">
        <v>15879</v>
      </c>
      <c r="G215" s="1956">
        <f t="shared" ref="G215:G253" si="25">+F215/E215*100</f>
        <v>100</v>
      </c>
      <c r="H215" s="1940">
        <v>32226</v>
      </c>
      <c r="I215" s="1942">
        <v>9726</v>
      </c>
      <c r="J215" s="1942">
        <f t="shared" ref="J215:J225" si="26">+I215/H215*100</f>
        <v>30.180599515918821</v>
      </c>
    </row>
    <row r="216" spans="1:10" ht="19.5" customHeight="1" x14ac:dyDescent="0.2">
      <c r="A216" s="2312">
        <v>39</v>
      </c>
      <c r="B216" s="2310" t="s">
        <v>2793</v>
      </c>
      <c r="C216" s="1969"/>
      <c r="D216" s="1978"/>
      <c r="E216" s="1940">
        <v>0</v>
      </c>
      <c r="F216" s="1940">
        <v>0</v>
      </c>
      <c r="G216" s="1956"/>
      <c r="H216" s="1937">
        <v>87736</v>
      </c>
      <c r="I216" s="1938">
        <v>71396.98</v>
      </c>
      <c r="J216" s="1938">
        <f t="shared" si="26"/>
        <v>81.377063007203418</v>
      </c>
    </row>
    <row r="217" spans="1:10" ht="20.25" customHeight="1" x14ac:dyDescent="0.2">
      <c r="A217" s="2312"/>
      <c r="B217" s="2310"/>
      <c r="C217" s="1969" t="s">
        <v>32</v>
      </c>
      <c r="D217" s="1939" t="s">
        <v>854</v>
      </c>
      <c r="E217" s="1940">
        <v>3483</v>
      </c>
      <c r="F217" s="1940">
        <v>3483</v>
      </c>
      <c r="G217" s="1956">
        <f t="shared" si="25"/>
        <v>100</v>
      </c>
      <c r="H217" s="1940">
        <v>87236</v>
      </c>
      <c r="I217" s="1942">
        <v>70896.98</v>
      </c>
      <c r="J217" s="1942">
        <f t="shared" si="26"/>
        <v>81.270324178091613</v>
      </c>
    </row>
    <row r="218" spans="1:10" ht="36.75" customHeight="1" x14ac:dyDescent="0.2">
      <c r="A218" s="2312"/>
      <c r="B218" s="2310"/>
      <c r="C218" s="1969" t="s">
        <v>32</v>
      </c>
      <c r="D218" s="1939" t="s">
        <v>57</v>
      </c>
      <c r="E218" s="1940">
        <v>1369</v>
      </c>
      <c r="F218" s="1940">
        <v>1369</v>
      </c>
      <c r="G218" s="1956">
        <f t="shared" si="25"/>
        <v>100</v>
      </c>
      <c r="H218" s="1940">
        <v>500</v>
      </c>
      <c r="I218" s="1942">
        <v>500</v>
      </c>
      <c r="J218" s="1942">
        <f t="shared" si="26"/>
        <v>100</v>
      </c>
    </row>
    <row r="219" spans="1:10" ht="21.75" customHeight="1" x14ac:dyDescent="0.2">
      <c r="A219" s="2312">
        <v>40</v>
      </c>
      <c r="B219" s="2310" t="s">
        <v>857</v>
      </c>
      <c r="C219" s="1969"/>
      <c r="D219" s="1939"/>
      <c r="E219" s="1940">
        <v>0</v>
      </c>
      <c r="F219" s="1940">
        <v>0</v>
      </c>
      <c r="G219" s="1956"/>
      <c r="H219" s="1937">
        <v>258219</v>
      </c>
      <c r="I219" s="1938">
        <v>185054.1</v>
      </c>
      <c r="J219" s="1938">
        <f t="shared" si="26"/>
        <v>71.665562952377641</v>
      </c>
    </row>
    <row r="220" spans="1:10" ht="21.75" customHeight="1" x14ac:dyDescent="0.2">
      <c r="A220" s="2312"/>
      <c r="B220" s="2310"/>
      <c r="C220" s="1969" t="s">
        <v>32</v>
      </c>
      <c r="D220" s="1939" t="s">
        <v>854</v>
      </c>
      <c r="E220" s="1940">
        <v>10289</v>
      </c>
      <c r="F220" s="1940">
        <v>10289</v>
      </c>
      <c r="G220" s="1956">
        <f t="shared" si="25"/>
        <v>100</v>
      </c>
      <c r="H220" s="1940">
        <v>238701</v>
      </c>
      <c r="I220" s="1942">
        <v>178128.1</v>
      </c>
      <c r="J220" s="1942">
        <f t="shared" si="26"/>
        <v>74.623943762280007</v>
      </c>
    </row>
    <row r="221" spans="1:10" ht="25.5" x14ac:dyDescent="0.2">
      <c r="A221" s="2312"/>
      <c r="B221" s="2310"/>
      <c r="C221" s="1969" t="s">
        <v>32</v>
      </c>
      <c r="D221" s="1939" t="s">
        <v>57</v>
      </c>
      <c r="E221" s="1940">
        <v>2381</v>
      </c>
      <c r="F221" s="1940">
        <v>2381</v>
      </c>
      <c r="G221" s="1956">
        <f t="shared" si="25"/>
        <v>100</v>
      </c>
      <c r="H221" s="1940">
        <v>19518</v>
      </c>
      <c r="I221" s="1942">
        <v>6926</v>
      </c>
      <c r="J221" s="1942">
        <f t="shared" si="26"/>
        <v>35.485193155036377</v>
      </c>
    </row>
    <row r="222" spans="1:10" ht="21.75" customHeight="1" x14ac:dyDescent="0.2">
      <c r="A222" s="2312">
        <v>41</v>
      </c>
      <c r="B222" s="2310" t="s">
        <v>858</v>
      </c>
      <c r="C222" s="1969"/>
      <c r="D222" s="1978"/>
      <c r="E222" s="1940">
        <v>0</v>
      </c>
      <c r="F222" s="1940">
        <v>0</v>
      </c>
      <c r="G222" s="1956"/>
      <c r="H222" s="1937">
        <f>SUM(H223:H225)</f>
        <v>1103757</v>
      </c>
      <c r="I222" s="1938">
        <f>SUM(I223:I225)</f>
        <v>903987.99999999988</v>
      </c>
      <c r="J222" s="1938">
        <f t="shared" si="26"/>
        <v>81.900998136365146</v>
      </c>
    </row>
    <row r="223" spans="1:10" ht="21.75" customHeight="1" x14ac:dyDescent="0.2">
      <c r="A223" s="2312"/>
      <c r="B223" s="2310"/>
      <c r="C223" s="1969" t="s">
        <v>32</v>
      </c>
      <c r="D223" s="1939" t="s">
        <v>853</v>
      </c>
      <c r="E223" s="1940">
        <v>8568</v>
      </c>
      <c r="F223" s="1940">
        <v>8568</v>
      </c>
      <c r="G223" s="1956">
        <f t="shared" si="25"/>
        <v>100</v>
      </c>
      <c r="H223" s="1940">
        <v>249079</v>
      </c>
      <c r="I223" s="1942">
        <v>58683.32</v>
      </c>
      <c r="J223" s="1942">
        <f t="shared" si="26"/>
        <v>23.560123494955416</v>
      </c>
    </row>
    <row r="224" spans="1:10" ht="21.75" customHeight="1" x14ac:dyDescent="0.2">
      <c r="A224" s="2312"/>
      <c r="B224" s="2310"/>
      <c r="C224" s="1969" t="s">
        <v>32</v>
      </c>
      <c r="D224" s="1939" t="s">
        <v>875</v>
      </c>
      <c r="E224" s="1940">
        <v>1897</v>
      </c>
      <c r="F224" s="1940">
        <v>1897</v>
      </c>
      <c r="G224" s="1956">
        <f t="shared" si="25"/>
        <v>100</v>
      </c>
      <c r="H224" s="1940">
        <v>818460</v>
      </c>
      <c r="I224" s="1942">
        <v>811885.67999999993</v>
      </c>
      <c r="J224" s="1942">
        <f t="shared" si="26"/>
        <v>99.196745106663727</v>
      </c>
    </row>
    <row r="225" spans="1:10" ht="25.5" x14ac:dyDescent="0.2">
      <c r="A225" s="2312"/>
      <c r="B225" s="2310"/>
      <c r="C225" s="1969" t="s">
        <v>32</v>
      </c>
      <c r="D225" s="1939" t="s">
        <v>57</v>
      </c>
      <c r="E225" s="1940">
        <v>1204</v>
      </c>
      <c r="F225" s="1940">
        <v>1204</v>
      </c>
      <c r="G225" s="1956">
        <f t="shared" si="25"/>
        <v>100</v>
      </c>
      <c r="H225" s="1940">
        <v>36218</v>
      </c>
      <c r="I225" s="1942">
        <v>33419</v>
      </c>
      <c r="J225" s="1942">
        <f t="shared" si="26"/>
        <v>92.271798553205585</v>
      </c>
    </row>
    <row r="226" spans="1:10" ht="21.75" customHeight="1" x14ac:dyDescent="0.2">
      <c r="A226" s="2312">
        <v>42</v>
      </c>
      <c r="B226" s="2310" t="s">
        <v>859</v>
      </c>
      <c r="C226" s="1969"/>
      <c r="D226" s="1978"/>
      <c r="E226" s="1940">
        <v>0</v>
      </c>
      <c r="F226" s="1940">
        <v>0</v>
      </c>
      <c r="G226" s="1956"/>
      <c r="H226" s="1937">
        <f>SUM(H227:H229)</f>
        <v>2092589</v>
      </c>
      <c r="I226" s="1938">
        <f>SUM(I227:I229)</f>
        <v>1654510.98</v>
      </c>
      <c r="J226" s="1938">
        <f t="shared" ref="J226:J230" si="27">+I226/H226*100</f>
        <v>79.065262218237791</v>
      </c>
    </row>
    <row r="227" spans="1:10" ht="21.75" customHeight="1" x14ac:dyDescent="0.2">
      <c r="A227" s="2312"/>
      <c r="B227" s="2310"/>
      <c r="C227" s="1969" t="s">
        <v>32</v>
      </c>
      <c r="D227" s="1939" t="s">
        <v>853</v>
      </c>
      <c r="E227" s="1940">
        <v>10406</v>
      </c>
      <c r="F227" s="1940">
        <v>10406</v>
      </c>
      <c r="G227" s="1956">
        <f t="shared" si="25"/>
        <v>100</v>
      </c>
      <c r="H227" s="1940">
        <v>412961</v>
      </c>
      <c r="I227" s="1942">
        <v>48079.77</v>
      </c>
      <c r="J227" s="1942">
        <f t="shared" si="27"/>
        <v>11.642690229827997</v>
      </c>
    </row>
    <row r="228" spans="1:10" ht="21.75" customHeight="1" x14ac:dyDescent="0.2">
      <c r="A228" s="2312"/>
      <c r="B228" s="2310"/>
      <c r="C228" s="1969" t="s">
        <v>32</v>
      </c>
      <c r="D228" s="1939" t="s">
        <v>876</v>
      </c>
      <c r="E228" s="1940">
        <v>4117</v>
      </c>
      <c r="F228" s="1940">
        <v>4117</v>
      </c>
      <c r="G228" s="1956">
        <f t="shared" si="25"/>
        <v>100</v>
      </c>
      <c r="H228" s="1940">
        <v>1617572</v>
      </c>
      <c r="I228" s="1942">
        <v>1545888.21</v>
      </c>
      <c r="J228" s="1942">
        <f t="shared" si="27"/>
        <v>95.568432811646105</v>
      </c>
    </row>
    <row r="229" spans="1:10" ht="48.75" customHeight="1" x14ac:dyDescent="0.2">
      <c r="A229" s="2312"/>
      <c r="B229" s="2310"/>
      <c r="C229" s="1969" t="s">
        <v>32</v>
      </c>
      <c r="D229" s="1939" t="s">
        <v>57</v>
      </c>
      <c r="E229" s="1940">
        <v>1024</v>
      </c>
      <c r="F229" s="1940">
        <v>1024</v>
      </c>
      <c r="G229" s="1956">
        <f t="shared" si="25"/>
        <v>100</v>
      </c>
      <c r="H229" s="1940">
        <v>62056</v>
      </c>
      <c r="I229" s="1942">
        <v>60543</v>
      </c>
      <c r="J229" s="1942">
        <f t="shared" si="27"/>
        <v>97.561879592626013</v>
      </c>
    </row>
    <row r="230" spans="1:10" ht="18.75" customHeight="1" x14ac:dyDescent="0.2">
      <c r="A230" s="2301">
        <v>43</v>
      </c>
      <c r="B230" s="2310" t="s">
        <v>2509</v>
      </c>
      <c r="C230" s="1969"/>
      <c r="D230" s="1939"/>
      <c r="E230" s="1940"/>
      <c r="F230" s="1940"/>
      <c r="G230" s="1956"/>
      <c r="H230" s="1979">
        <f>+H231</f>
        <v>14327</v>
      </c>
      <c r="I230" s="1883">
        <f>+I231</f>
        <v>6883</v>
      </c>
      <c r="J230" s="1938">
        <f t="shared" si="27"/>
        <v>48.042158162909196</v>
      </c>
    </row>
    <row r="231" spans="1:10" ht="25.5" x14ac:dyDescent="0.2">
      <c r="A231" s="2303"/>
      <c r="B231" s="2310"/>
      <c r="C231" s="1969" t="s">
        <v>32</v>
      </c>
      <c r="D231" s="1939" t="s">
        <v>57</v>
      </c>
      <c r="E231" s="1940"/>
      <c r="F231" s="1940"/>
      <c r="G231" s="1956"/>
      <c r="H231" s="1940">
        <v>14327</v>
      </c>
      <c r="I231" s="1942">
        <v>6883</v>
      </c>
      <c r="J231" s="1942">
        <f>+I231/H231*100</f>
        <v>48.042158162909196</v>
      </c>
    </row>
    <row r="232" spans="1:10" ht="25.5" x14ac:dyDescent="0.2">
      <c r="A232" s="1980"/>
      <c r="B232" s="1958" t="s">
        <v>877</v>
      </c>
      <c r="C232" s="1969" t="s">
        <v>32</v>
      </c>
      <c r="D232" s="1939" t="s">
        <v>57</v>
      </c>
      <c r="E232" s="1940"/>
      <c r="F232" s="1940"/>
      <c r="G232" s="1956"/>
      <c r="H232" s="1937">
        <v>10013</v>
      </c>
      <c r="I232" s="1938">
        <v>4300</v>
      </c>
      <c r="J232" s="1938">
        <f>+I232/H232*100</f>
        <v>42.944172575651649</v>
      </c>
    </row>
    <row r="233" spans="1:10" ht="21.75" customHeight="1" x14ac:dyDescent="0.2">
      <c r="A233" s="2312">
        <v>44</v>
      </c>
      <c r="B233" s="2310" t="s">
        <v>860</v>
      </c>
      <c r="C233" s="1969"/>
      <c r="D233" s="1939"/>
      <c r="E233" s="1940"/>
      <c r="F233" s="1940"/>
      <c r="G233" s="1956"/>
      <c r="H233" s="1937">
        <f>SUM(H234:H235)</f>
        <v>127141</v>
      </c>
      <c r="I233" s="1938">
        <f>SUM(I234:I235)</f>
        <v>101801.9</v>
      </c>
      <c r="J233" s="1938">
        <f>+I233/H233*100</f>
        <v>80.070079675321097</v>
      </c>
    </row>
    <row r="234" spans="1:10" ht="25.5" x14ac:dyDescent="0.2">
      <c r="A234" s="2312"/>
      <c r="B234" s="2310"/>
      <c r="C234" s="1969" t="s">
        <v>32</v>
      </c>
      <c r="D234" s="1939" t="s">
        <v>57</v>
      </c>
      <c r="E234" s="1946">
        <v>881</v>
      </c>
      <c r="F234" s="1946">
        <v>881</v>
      </c>
      <c r="G234" s="1981">
        <f t="shared" si="25"/>
        <v>100</v>
      </c>
      <c r="H234" s="1940">
        <v>127141</v>
      </c>
      <c r="I234" s="1942">
        <v>101801.9</v>
      </c>
      <c r="J234" s="1942">
        <f>+I234/H234*100</f>
        <v>80.070079675321097</v>
      </c>
    </row>
    <row r="235" spans="1:10" ht="21.75" customHeight="1" x14ac:dyDescent="0.2">
      <c r="A235" s="2312"/>
      <c r="B235" s="2310"/>
      <c r="C235" s="1969" t="s">
        <v>32</v>
      </c>
      <c r="D235" s="1939" t="s">
        <v>854</v>
      </c>
      <c r="E235" s="1946">
        <v>538</v>
      </c>
      <c r="F235" s="1946">
        <v>538</v>
      </c>
      <c r="G235" s="1956">
        <f t="shared" si="25"/>
        <v>100</v>
      </c>
      <c r="H235" s="1940">
        <v>0</v>
      </c>
      <c r="I235" s="1942">
        <v>0</v>
      </c>
      <c r="J235" s="1942"/>
    </row>
    <row r="236" spans="1:10" ht="28.5" customHeight="1" x14ac:dyDescent="0.2">
      <c r="A236" s="2246">
        <v>45</v>
      </c>
      <c r="B236" s="2245" t="s">
        <v>861</v>
      </c>
      <c r="C236" s="1969" t="s">
        <v>32</v>
      </c>
      <c r="D236" s="1939" t="s">
        <v>862</v>
      </c>
      <c r="E236" s="1946">
        <v>4</v>
      </c>
      <c r="F236" s="1946">
        <v>4</v>
      </c>
      <c r="G236" s="1956">
        <f t="shared" si="25"/>
        <v>100</v>
      </c>
      <c r="H236" s="1937">
        <v>29061</v>
      </c>
      <c r="I236" s="1938">
        <v>7699.3099999999995</v>
      </c>
      <c r="J236" s="1938">
        <f>+I236/H236*100</f>
        <v>26.493616874849451</v>
      </c>
    </row>
    <row r="237" spans="1:10" ht="21.75" customHeight="1" x14ac:dyDescent="0.2">
      <c r="A237" s="2312">
        <v>46</v>
      </c>
      <c r="B237" s="2310" t="s">
        <v>863</v>
      </c>
      <c r="C237" s="1969"/>
      <c r="D237" s="1982"/>
      <c r="E237" s="1946"/>
      <c r="F237" s="1946"/>
      <c r="G237" s="1956"/>
      <c r="H237" s="1937">
        <f>SUM(H238:H241)</f>
        <v>2332779</v>
      </c>
      <c r="I237" s="1938">
        <f>SUM(I238:I241)</f>
        <v>1583532.6599999997</v>
      </c>
      <c r="J237" s="1938">
        <f>+I237/H237*100</f>
        <v>67.881812207671615</v>
      </c>
    </row>
    <row r="238" spans="1:10" ht="25.5" x14ac:dyDescent="0.2">
      <c r="A238" s="2312"/>
      <c r="B238" s="2310"/>
      <c r="C238" s="1969" t="s">
        <v>32</v>
      </c>
      <c r="D238" s="1945" t="s">
        <v>57</v>
      </c>
      <c r="E238" s="1946">
        <v>4</v>
      </c>
      <c r="F238" s="1946">
        <v>4</v>
      </c>
      <c r="G238" s="1956">
        <f t="shared" si="25"/>
        <v>100</v>
      </c>
      <c r="H238" s="1940">
        <v>64738</v>
      </c>
      <c r="I238" s="1942">
        <v>32855.64</v>
      </c>
      <c r="J238" s="1942">
        <f>+I238/H238*100</f>
        <v>50.751706880039535</v>
      </c>
    </row>
    <row r="239" spans="1:10" ht="21.75" customHeight="1" x14ac:dyDescent="0.2">
      <c r="A239" s="2312"/>
      <c r="B239" s="2310"/>
      <c r="C239" s="1969" t="s">
        <v>32</v>
      </c>
      <c r="D239" s="1945" t="s">
        <v>63</v>
      </c>
      <c r="E239" s="1940">
        <v>234</v>
      </c>
      <c r="F239" s="1940">
        <v>234</v>
      </c>
      <c r="G239" s="1956">
        <f t="shared" si="25"/>
        <v>100</v>
      </c>
      <c r="H239" s="1940">
        <v>2087446</v>
      </c>
      <c r="I239" s="1942">
        <v>1457436.6699999997</v>
      </c>
      <c r="J239" s="1942">
        <f>+I239/H239*100</f>
        <v>69.819131608673928</v>
      </c>
    </row>
    <row r="240" spans="1:10" ht="21.75" customHeight="1" x14ac:dyDescent="0.2">
      <c r="A240" s="2312"/>
      <c r="B240" s="2310"/>
      <c r="C240" s="1969" t="s">
        <v>32</v>
      </c>
      <c r="D240" s="1945" t="s">
        <v>806</v>
      </c>
      <c r="E240" s="1940">
        <v>81</v>
      </c>
      <c r="F240" s="1940">
        <v>81</v>
      </c>
      <c r="G240" s="1956">
        <f t="shared" si="25"/>
        <v>100</v>
      </c>
      <c r="H240" s="1940">
        <v>180595</v>
      </c>
      <c r="I240" s="1942">
        <v>93240.349999999991</v>
      </c>
      <c r="J240" s="1942">
        <f>+I240/H240*100</f>
        <v>51.629530164179513</v>
      </c>
    </row>
    <row r="241" spans="1:10" ht="21.75" customHeight="1" x14ac:dyDescent="0.2">
      <c r="A241" s="2312"/>
      <c r="B241" s="2310"/>
      <c r="C241" s="1969" t="s">
        <v>32</v>
      </c>
      <c r="D241" s="1945" t="s">
        <v>62</v>
      </c>
      <c r="E241" s="1940">
        <v>7</v>
      </c>
      <c r="F241" s="1940">
        <v>7</v>
      </c>
      <c r="G241" s="1956">
        <f t="shared" si="25"/>
        <v>100</v>
      </c>
      <c r="H241" s="1940">
        <v>0</v>
      </c>
      <c r="I241" s="1942">
        <v>0</v>
      </c>
      <c r="J241" s="1942"/>
    </row>
    <row r="242" spans="1:10" ht="56.25" customHeight="1" x14ac:dyDescent="0.2">
      <c r="A242" s="1983">
        <v>47</v>
      </c>
      <c r="B242" s="1984" t="s">
        <v>864</v>
      </c>
      <c r="C242" s="1969" t="s">
        <v>32</v>
      </c>
      <c r="D242" s="1939" t="s">
        <v>66</v>
      </c>
      <c r="E242" s="1940">
        <v>2</v>
      </c>
      <c r="F242" s="1940">
        <v>2</v>
      </c>
      <c r="G242" s="1956">
        <f t="shared" si="25"/>
        <v>100</v>
      </c>
      <c r="H242" s="1937">
        <v>3570</v>
      </c>
      <c r="I242" s="1938">
        <v>2320</v>
      </c>
      <c r="J242" s="1938">
        <f>+I242/H242*100</f>
        <v>64.9859943977591</v>
      </c>
    </row>
    <row r="243" spans="1:10" ht="17.25" customHeight="1" x14ac:dyDescent="0.2">
      <c r="A243" s="2312">
        <v>48</v>
      </c>
      <c r="B243" s="2310" t="s">
        <v>865</v>
      </c>
      <c r="C243" s="1969"/>
      <c r="D243" s="1939"/>
      <c r="E243" s="1940"/>
      <c r="F243" s="1940"/>
      <c r="G243" s="1956"/>
      <c r="H243" s="1937">
        <f>SUM(H244:H248)</f>
        <v>354926</v>
      </c>
      <c r="I243" s="1938">
        <f>SUM(I244:I248)</f>
        <v>162280.13999999998</v>
      </c>
      <c r="J243" s="1938">
        <f>+I243/H243*100</f>
        <v>45.722246327403454</v>
      </c>
    </row>
    <row r="244" spans="1:10" ht="25.5" x14ac:dyDescent="0.2">
      <c r="A244" s="2312"/>
      <c r="B244" s="2310"/>
      <c r="C244" s="1969" t="s">
        <v>32</v>
      </c>
      <c r="D244" s="1939" t="s">
        <v>57</v>
      </c>
      <c r="E244" s="1940">
        <v>1</v>
      </c>
      <c r="F244" s="1940">
        <v>1</v>
      </c>
      <c r="G244" s="1956">
        <f t="shared" si="25"/>
        <v>100</v>
      </c>
      <c r="H244" s="1940">
        <v>0</v>
      </c>
      <c r="I244" s="1942">
        <v>0</v>
      </c>
      <c r="J244" s="1942"/>
    </row>
    <row r="245" spans="1:10" ht="25.5" x14ac:dyDescent="0.2">
      <c r="A245" s="2312"/>
      <c r="B245" s="2310"/>
      <c r="C245" s="1969" t="s">
        <v>32</v>
      </c>
      <c r="D245" s="1939" t="s">
        <v>817</v>
      </c>
      <c r="E245" s="1940">
        <v>2</v>
      </c>
      <c r="F245" s="1940">
        <v>2</v>
      </c>
      <c r="G245" s="1956">
        <f t="shared" si="25"/>
        <v>100</v>
      </c>
      <c r="H245" s="1940">
        <v>40374</v>
      </c>
      <c r="I245" s="1942">
        <v>36844.519999999997</v>
      </c>
      <c r="J245" s="1942">
        <f>+I245/H245*100</f>
        <v>91.258037350770294</v>
      </c>
    </row>
    <row r="246" spans="1:10" ht="21.75" customHeight="1" x14ac:dyDescent="0.2">
      <c r="A246" s="2312"/>
      <c r="B246" s="2310"/>
      <c r="C246" s="1969" t="s">
        <v>32</v>
      </c>
      <c r="D246" s="1939" t="s">
        <v>38</v>
      </c>
      <c r="E246" s="1940">
        <v>17</v>
      </c>
      <c r="F246" s="1940">
        <v>17</v>
      </c>
      <c r="G246" s="1956">
        <f t="shared" si="25"/>
        <v>100</v>
      </c>
      <c r="H246" s="1940">
        <v>119533</v>
      </c>
      <c r="I246" s="1942">
        <v>58745</v>
      </c>
      <c r="J246" s="1942">
        <f>+I246/H246*100</f>
        <v>49.145424276141313</v>
      </c>
    </row>
    <row r="247" spans="1:10" ht="21.75" customHeight="1" x14ac:dyDescent="0.2">
      <c r="A247" s="2312"/>
      <c r="B247" s="2310"/>
      <c r="C247" s="1969" t="s">
        <v>32</v>
      </c>
      <c r="D247" s="1939" t="s">
        <v>806</v>
      </c>
      <c r="E247" s="1940">
        <v>34</v>
      </c>
      <c r="F247" s="1940">
        <v>34</v>
      </c>
      <c r="G247" s="1956">
        <f t="shared" si="25"/>
        <v>100</v>
      </c>
      <c r="H247" s="1940">
        <v>195019</v>
      </c>
      <c r="I247" s="1942">
        <v>66690.62</v>
      </c>
      <c r="J247" s="1942">
        <f>+I247/H247*100</f>
        <v>34.196985934703797</v>
      </c>
    </row>
    <row r="248" spans="1:10" ht="21.75" customHeight="1" x14ac:dyDescent="0.2">
      <c r="A248" s="2312"/>
      <c r="B248" s="2310"/>
      <c r="C248" s="1969" t="s">
        <v>32</v>
      </c>
      <c r="D248" s="1939" t="s">
        <v>62</v>
      </c>
      <c r="E248" s="1940">
        <v>0</v>
      </c>
      <c r="F248" s="1940">
        <v>0</v>
      </c>
      <c r="G248" s="1956"/>
      <c r="H248" s="1940">
        <v>0</v>
      </c>
      <c r="I248" s="1942">
        <v>0</v>
      </c>
      <c r="J248" s="1942"/>
    </row>
    <row r="249" spans="1:10" ht="27" customHeight="1" x14ac:dyDescent="0.2">
      <c r="A249" s="2246">
        <v>49</v>
      </c>
      <c r="B249" s="2245" t="s">
        <v>866</v>
      </c>
      <c r="C249" s="1969" t="s">
        <v>32</v>
      </c>
      <c r="D249" s="1939" t="s">
        <v>867</v>
      </c>
      <c r="E249" s="1940">
        <v>150</v>
      </c>
      <c r="F249" s="1940">
        <v>150</v>
      </c>
      <c r="G249" s="1956">
        <f t="shared" si="25"/>
        <v>100</v>
      </c>
      <c r="H249" s="1937">
        <v>8160656</v>
      </c>
      <c r="I249" s="1938">
        <v>2867827.9299999997</v>
      </c>
      <c r="J249" s="1938">
        <f t="shared" ref="J249:J261" si="28">+I249/H249*100</f>
        <v>35.142124971325835</v>
      </c>
    </row>
    <row r="250" spans="1:10" ht="18" customHeight="1" x14ac:dyDescent="0.2">
      <c r="A250" s="2301">
        <v>50</v>
      </c>
      <c r="B250" s="2307" t="s">
        <v>868</v>
      </c>
      <c r="C250" s="1969"/>
      <c r="D250" s="1939"/>
      <c r="E250" s="1940"/>
      <c r="F250" s="1940"/>
      <c r="G250" s="1956"/>
      <c r="H250" s="1937">
        <f>SUM(H251:H252)</f>
        <v>133765</v>
      </c>
      <c r="I250" s="1938">
        <f>SUM(I251:I252)</f>
        <v>52473.599999999999</v>
      </c>
      <c r="J250" s="1938">
        <f t="shared" si="28"/>
        <v>39.228198706687103</v>
      </c>
    </row>
    <row r="251" spans="1:10" ht="25.5" x14ac:dyDescent="0.2">
      <c r="A251" s="2302"/>
      <c r="B251" s="2308"/>
      <c r="C251" s="1969" t="s">
        <v>32</v>
      </c>
      <c r="D251" s="1939" t="s">
        <v>57</v>
      </c>
      <c r="E251" s="1946">
        <v>112</v>
      </c>
      <c r="F251" s="1946">
        <v>112</v>
      </c>
      <c r="G251" s="1956">
        <f t="shared" si="25"/>
        <v>100</v>
      </c>
      <c r="H251" s="1940">
        <v>130165</v>
      </c>
      <c r="I251" s="1942">
        <v>51123.6</v>
      </c>
      <c r="J251" s="1942">
        <f t="shared" si="28"/>
        <v>39.275995851419346</v>
      </c>
    </row>
    <row r="252" spans="1:10" ht="21.75" customHeight="1" x14ac:dyDescent="0.2">
      <c r="A252" s="2303"/>
      <c r="B252" s="2308"/>
      <c r="C252" s="1969" t="s">
        <v>32</v>
      </c>
      <c r="D252" s="1939" t="s">
        <v>869</v>
      </c>
      <c r="E252" s="1946"/>
      <c r="F252" s="1946"/>
      <c r="G252" s="1956"/>
      <c r="H252" s="1940">
        <v>3600</v>
      </c>
      <c r="I252" s="1942">
        <v>1350</v>
      </c>
      <c r="J252" s="1942">
        <f t="shared" si="28"/>
        <v>37.5</v>
      </c>
    </row>
    <row r="253" spans="1:10" ht="32.25" customHeight="1" x14ac:dyDescent="0.2">
      <c r="A253" s="2242">
        <v>51</v>
      </c>
      <c r="B253" s="1958" t="s">
        <v>848</v>
      </c>
      <c r="C253" s="1969" t="s">
        <v>32</v>
      </c>
      <c r="D253" s="1939" t="s">
        <v>869</v>
      </c>
      <c r="E253" s="1940">
        <v>180</v>
      </c>
      <c r="F253" s="1940">
        <v>180</v>
      </c>
      <c r="G253" s="1956">
        <f t="shared" si="25"/>
        <v>100</v>
      </c>
      <c r="H253" s="1937">
        <v>3600</v>
      </c>
      <c r="I253" s="1938">
        <v>2400</v>
      </c>
      <c r="J253" s="1938">
        <f t="shared" si="28"/>
        <v>66.666666666666657</v>
      </c>
    </row>
    <row r="254" spans="1:10" ht="21.75" customHeight="1" x14ac:dyDescent="0.2">
      <c r="A254" s="2242">
        <v>52</v>
      </c>
      <c r="B254" s="1958" t="s">
        <v>849</v>
      </c>
      <c r="C254" s="1969" t="s">
        <v>32</v>
      </c>
      <c r="D254" s="1939" t="s">
        <v>869</v>
      </c>
      <c r="E254" s="1940">
        <v>80</v>
      </c>
      <c r="F254" s="1940">
        <v>40</v>
      </c>
      <c r="G254" s="1956">
        <f t="shared" ref="G254" si="29">+F254/E254*100</f>
        <v>50</v>
      </c>
      <c r="H254" s="1937">
        <v>3600</v>
      </c>
      <c r="I254" s="1938">
        <v>500</v>
      </c>
      <c r="J254" s="1938">
        <f t="shared" si="28"/>
        <v>13.888888888888889</v>
      </c>
    </row>
    <row r="255" spans="1:10" ht="21.75" customHeight="1" x14ac:dyDescent="0.2">
      <c r="A255" s="2247" t="s">
        <v>923</v>
      </c>
      <c r="B255" s="1948"/>
      <c r="C255" s="1939"/>
      <c r="D255" s="1945"/>
      <c r="E255" s="1940"/>
      <c r="F255" s="1940"/>
      <c r="G255" s="1941"/>
      <c r="H255" s="1931">
        <f>+H256</f>
        <v>10700038</v>
      </c>
      <c r="I255" s="2250">
        <f>+I256</f>
        <v>3059218.6</v>
      </c>
      <c r="J255" s="1932">
        <f t="shared" si="28"/>
        <v>28.590726500223646</v>
      </c>
    </row>
    <row r="256" spans="1:10" ht="21.75" customHeight="1" x14ac:dyDescent="0.2">
      <c r="A256" s="1985"/>
      <c r="B256" s="1933" t="s">
        <v>899</v>
      </c>
      <c r="C256" s="1874"/>
      <c r="D256" s="1874"/>
      <c r="E256" s="1874"/>
      <c r="F256" s="1874"/>
      <c r="G256" s="1874"/>
      <c r="H256" s="1937">
        <f>SUM(H257:H260)</f>
        <v>10700038</v>
      </c>
      <c r="I256" s="1938">
        <f>SUM(I257:I260)</f>
        <v>3059218.6</v>
      </c>
      <c r="J256" s="1986">
        <f t="shared" si="28"/>
        <v>28.590726500223646</v>
      </c>
    </row>
    <row r="257" spans="1:10" ht="51" x14ac:dyDescent="0.2">
      <c r="A257" s="2246">
        <v>1</v>
      </c>
      <c r="B257" s="1987" t="s">
        <v>900</v>
      </c>
      <c r="C257" s="1988" t="s">
        <v>186</v>
      </c>
      <c r="D257" s="1988" t="s">
        <v>898</v>
      </c>
      <c r="E257" s="1915">
        <v>1</v>
      </c>
      <c r="F257" s="1942">
        <v>0.34</v>
      </c>
      <c r="G257" s="1989">
        <f>+F257/E257*100</f>
        <v>34</v>
      </c>
      <c r="H257" s="1940">
        <v>7943029</v>
      </c>
      <c r="I257" s="1942">
        <v>2979651.38</v>
      </c>
      <c r="J257" s="1989">
        <f t="shared" si="28"/>
        <v>37.512784858270059</v>
      </c>
    </row>
    <row r="258" spans="1:10" ht="51" x14ac:dyDescent="0.2">
      <c r="A258" s="2246">
        <v>2</v>
      </c>
      <c r="B258" s="1987" t="s">
        <v>2750</v>
      </c>
      <c r="C258" s="1988" t="s">
        <v>186</v>
      </c>
      <c r="D258" s="1988" t="s">
        <v>934</v>
      </c>
      <c r="E258" s="1915">
        <v>1</v>
      </c>
      <c r="F258" s="1942">
        <v>1.8499999999999999E-2</v>
      </c>
      <c r="G258" s="1989">
        <f>+F258/E258*100</f>
        <v>1.8499999999999999</v>
      </c>
      <c r="H258" s="1940">
        <v>2703131</v>
      </c>
      <c r="I258" s="1942">
        <v>50035.199999999997</v>
      </c>
      <c r="J258" s="1989">
        <f t="shared" si="28"/>
        <v>1.8510090705925832</v>
      </c>
    </row>
    <row r="259" spans="1:10" ht="27.75" customHeight="1" x14ac:dyDescent="0.2">
      <c r="A259" s="2246">
        <v>3</v>
      </c>
      <c r="B259" s="1987" t="s">
        <v>2751</v>
      </c>
      <c r="C259" s="1988" t="s">
        <v>186</v>
      </c>
      <c r="D259" s="1988" t="s">
        <v>2753</v>
      </c>
      <c r="E259" s="1940">
        <v>1</v>
      </c>
      <c r="F259" s="1942">
        <v>0.6</v>
      </c>
      <c r="G259" s="1989">
        <f>+F259/E259*100</f>
        <v>60</v>
      </c>
      <c r="H259" s="1940">
        <v>48878</v>
      </c>
      <c r="I259" s="1899">
        <v>29532.02</v>
      </c>
      <c r="J259" s="1989">
        <f t="shared" si="28"/>
        <v>60.419861696468757</v>
      </c>
    </row>
    <row r="260" spans="1:10" ht="26.25" customHeight="1" x14ac:dyDescent="0.2">
      <c r="A260" s="2246">
        <v>4</v>
      </c>
      <c r="B260" s="1987" t="s">
        <v>2752</v>
      </c>
      <c r="C260" s="1988" t="s">
        <v>187</v>
      </c>
      <c r="D260" s="1988" t="s">
        <v>111</v>
      </c>
      <c r="E260" s="1940">
        <v>1</v>
      </c>
      <c r="F260" s="1942"/>
      <c r="G260" s="1989"/>
      <c r="H260" s="1940">
        <v>5000</v>
      </c>
      <c r="I260" s="1899">
        <v>0</v>
      </c>
      <c r="J260" s="1989">
        <f t="shared" si="28"/>
        <v>0</v>
      </c>
    </row>
    <row r="261" spans="1:10" ht="21.75" customHeight="1" x14ac:dyDescent="0.2">
      <c r="A261" s="2322" t="s">
        <v>901</v>
      </c>
      <c r="B261" s="2322"/>
      <c r="C261" s="2049"/>
      <c r="D261" s="2049"/>
      <c r="E261" s="2050"/>
      <c r="F261" s="2050"/>
      <c r="G261" s="2050"/>
      <c r="H261" s="1931">
        <f>SUM(H262:H266)</f>
        <v>4020790</v>
      </c>
      <c r="I261" s="2250">
        <f>SUM(I262:I266)</f>
        <v>764649</v>
      </c>
      <c r="J261" s="2250">
        <f t="shared" si="28"/>
        <v>19.017382156242927</v>
      </c>
    </row>
    <row r="262" spans="1:10" ht="38.25" x14ac:dyDescent="0.2">
      <c r="A262" s="2246">
        <v>1</v>
      </c>
      <c r="B262" s="1987" t="s">
        <v>922</v>
      </c>
      <c r="C262" s="1893" t="s">
        <v>68</v>
      </c>
      <c r="D262" s="1939" t="s">
        <v>57</v>
      </c>
      <c r="E262" s="2051">
        <v>1</v>
      </c>
      <c r="F262" s="1914">
        <v>0.35</v>
      </c>
      <c r="G262" s="1914">
        <f>+F262*E262/1</f>
        <v>0.35</v>
      </c>
      <c r="H262" s="1915">
        <v>2824304</v>
      </c>
      <c r="I262" s="1899">
        <v>490181</v>
      </c>
      <c r="J262" s="1899">
        <f>+I262*100/H262</f>
        <v>17.355815804530955</v>
      </c>
    </row>
    <row r="263" spans="1:10" ht="25.5" x14ac:dyDescent="0.2">
      <c r="A263" s="2246">
        <v>2</v>
      </c>
      <c r="B263" s="1987" t="s">
        <v>902</v>
      </c>
      <c r="C263" s="1893" t="s">
        <v>525</v>
      </c>
      <c r="D263" s="1939" t="s">
        <v>41</v>
      </c>
      <c r="E263" s="2051">
        <v>1</v>
      </c>
      <c r="F263" s="2052">
        <v>1</v>
      </c>
      <c r="G263" s="2052">
        <v>100</v>
      </c>
      <c r="H263" s="1915">
        <v>80237</v>
      </c>
      <c r="I263" s="1899">
        <v>80237</v>
      </c>
      <c r="J263" s="1899">
        <v>99.999065269140175</v>
      </c>
    </row>
    <row r="264" spans="1:10" ht="25.5" x14ac:dyDescent="0.2">
      <c r="A264" s="2246">
        <v>3</v>
      </c>
      <c r="B264" s="1987" t="s">
        <v>903</v>
      </c>
      <c r="C264" s="1893" t="s">
        <v>525</v>
      </c>
      <c r="D264" s="1939" t="s">
        <v>41</v>
      </c>
      <c r="E264" s="2051">
        <v>1</v>
      </c>
      <c r="F264" s="2052">
        <v>1</v>
      </c>
      <c r="G264" s="2052">
        <v>100</v>
      </c>
      <c r="H264" s="1915">
        <v>35329</v>
      </c>
      <c r="I264" s="1899">
        <v>35329</v>
      </c>
      <c r="J264" s="1899">
        <v>100</v>
      </c>
    </row>
    <row r="265" spans="1:10" ht="27" customHeight="1" x14ac:dyDescent="0.2">
      <c r="A265" s="2246">
        <v>4</v>
      </c>
      <c r="B265" s="1987" t="s">
        <v>905</v>
      </c>
      <c r="C265" s="1893" t="s">
        <v>68</v>
      </c>
      <c r="D265" s="1939" t="s">
        <v>904</v>
      </c>
      <c r="E265" s="2051">
        <v>1</v>
      </c>
      <c r="F265" s="2052">
        <v>0.1</v>
      </c>
      <c r="G265" s="2052">
        <f>+F265*100/E265</f>
        <v>10</v>
      </c>
      <c r="H265" s="1915">
        <v>717442</v>
      </c>
      <c r="I265" s="1899">
        <v>0</v>
      </c>
      <c r="J265" s="1899">
        <f>+I265*100/H265</f>
        <v>0</v>
      </c>
    </row>
    <row r="266" spans="1:10" ht="25.5" x14ac:dyDescent="0.2">
      <c r="A266" s="2246">
        <v>5</v>
      </c>
      <c r="B266" s="1987" t="s">
        <v>906</v>
      </c>
      <c r="C266" s="1893" t="s">
        <v>68</v>
      </c>
      <c r="D266" s="1939" t="s">
        <v>904</v>
      </c>
      <c r="E266" s="2051">
        <v>1</v>
      </c>
      <c r="F266" s="2052">
        <v>0.15</v>
      </c>
      <c r="G266" s="2052">
        <f>0.15*1</f>
        <v>0.15</v>
      </c>
      <c r="H266" s="1915">
        <v>363478</v>
      </c>
      <c r="I266" s="1899">
        <v>158902</v>
      </c>
      <c r="J266" s="1899">
        <f>+I266*100/H266</f>
        <v>43.717088792168987</v>
      </c>
    </row>
    <row r="267" spans="1:10" ht="21.75" customHeight="1" x14ac:dyDescent="0.2">
      <c r="A267" s="2322" t="s">
        <v>919</v>
      </c>
      <c r="B267" s="2322"/>
      <c r="C267" s="2053"/>
      <c r="D267" s="2054"/>
      <c r="E267" s="2055"/>
      <c r="F267" s="1909"/>
      <c r="G267" s="1909"/>
      <c r="H267" s="1931">
        <f>SUM(H268:H279)</f>
        <v>5490097</v>
      </c>
      <c r="I267" s="2250">
        <f>SUM(I268:I279)</f>
        <v>1744582.61</v>
      </c>
      <c r="J267" s="2250">
        <f>+I267/H267*100</f>
        <v>31.7768995702626</v>
      </c>
    </row>
    <row r="268" spans="1:10" ht="25.5" x14ac:dyDescent="0.2">
      <c r="A268" s="2246">
        <v>11</v>
      </c>
      <c r="B268" s="2245" t="s">
        <v>907</v>
      </c>
      <c r="C268" s="1902" t="s">
        <v>69</v>
      </c>
      <c r="D268" s="1939" t="s">
        <v>57</v>
      </c>
      <c r="E268" s="1914">
        <v>1</v>
      </c>
      <c r="F268" s="2052">
        <v>1</v>
      </c>
      <c r="G268" s="1899">
        <f t="shared" ref="G268:G279" si="30">+F268/E268*100</f>
        <v>100</v>
      </c>
      <c r="H268" s="1940">
        <v>65000</v>
      </c>
      <c r="I268" s="1942">
        <v>43800</v>
      </c>
      <c r="J268" s="1947">
        <f t="shared" ref="J268:J271" si="31">+I268/H268*100</f>
        <v>67.384615384615387</v>
      </c>
    </row>
    <row r="269" spans="1:10" ht="51" x14ac:dyDescent="0.2">
      <c r="A269" s="2246">
        <v>12</v>
      </c>
      <c r="B269" s="2245" t="s">
        <v>908</v>
      </c>
      <c r="C269" s="1902" t="s">
        <v>527</v>
      </c>
      <c r="D269" s="1939" t="s">
        <v>57</v>
      </c>
      <c r="E269" s="1914">
        <v>8</v>
      </c>
      <c r="F269" s="2052">
        <v>6.3384</v>
      </c>
      <c r="G269" s="1899">
        <f t="shared" si="30"/>
        <v>79.23</v>
      </c>
      <c r="H269" s="1940">
        <v>2404638</v>
      </c>
      <c r="I269" s="1942">
        <v>1351500.67</v>
      </c>
      <c r="J269" s="1947">
        <f t="shared" si="31"/>
        <v>56.203913853145458</v>
      </c>
    </row>
    <row r="270" spans="1:10" ht="25.5" x14ac:dyDescent="0.2">
      <c r="A270" s="2246">
        <v>13</v>
      </c>
      <c r="B270" s="1987" t="s">
        <v>909</v>
      </c>
      <c r="C270" s="1902" t="s">
        <v>69</v>
      </c>
      <c r="D270" s="1939" t="s">
        <v>57</v>
      </c>
      <c r="E270" s="1914">
        <v>1</v>
      </c>
      <c r="F270" s="2052">
        <v>1</v>
      </c>
      <c r="G270" s="1899">
        <f t="shared" si="30"/>
        <v>100</v>
      </c>
      <c r="H270" s="1940">
        <v>28524</v>
      </c>
      <c r="I270" s="1942">
        <v>28523.3</v>
      </c>
      <c r="J270" s="1947">
        <f t="shared" si="31"/>
        <v>99.997545926237549</v>
      </c>
    </row>
    <row r="271" spans="1:10" ht="29.25" customHeight="1" x14ac:dyDescent="0.2">
      <c r="A271" s="2246">
        <v>14</v>
      </c>
      <c r="B271" s="1987" t="s">
        <v>910</v>
      </c>
      <c r="C271" s="1902" t="s">
        <v>69</v>
      </c>
      <c r="D271" s="1939" t="s">
        <v>57</v>
      </c>
      <c r="E271" s="1914">
        <v>1</v>
      </c>
      <c r="F271" s="2052">
        <v>0.151</v>
      </c>
      <c r="G271" s="1899">
        <f t="shared" si="30"/>
        <v>15.1</v>
      </c>
      <c r="H271" s="1940">
        <v>2000</v>
      </c>
      <c r="I271" s="1942">
        <v>0</v>
      </c>
      <c r="J271" s="1947">
        <f t="shared" si="31"/>
        <v>0</v>
      </c>
    </row>
    <row r="272" spans="1:10" ht="146.25" customHeight="1" x14ac:dyDescent="0.2">
      <c r="A272" s="2301">
        <v>15</v>
      </c>
      <c r="B272" s="2304" t="s">
        <v>911</v>
      </c>
      <c r="C272" s="1902" t="s">
        <v>69</v>
      </c>
      <c r="D272" s="1939" t="s">
        <v>912</v>
      </c>
      <c r="E272" s="1914">
        <v>1</v>
      </c>
      <c r="F272" s="2051">
        <v>1</v>
      </c>
      <c r="G272" s="1899">
        <f t="shared" si="30"/>
        <v>100</v>
      </c>
      <c r="H272" s="2313">
        <v>418486</v>
      </c>
      <c r="I272" s="2316">
        <v>314513.27</v>
      </c>
      <c r="J272" s="2319">
        <f>+I272/H272*100</f>
        <v>75.155027886237534</v>
      </c>
    </row>
    <row r="273" spans="1:10" ht="25.5" x14ac:dyDescent="0.2">
      <c r="A273" s="2302"/>
      <c r="B273" s="2305"/>
      <c r="C273" s="1902" t="s">
        <v>69</v>
      </c>
      <c r="D273" s="1939" t="s">
        <v>913</v>
      </c>
      <c r="E273" s="1914">
        <v>1</v>
      </c>
      <c r="F273" s="2051">
        <v>1</v>
      </c>
      <c r="G273" s="1899">
        <f t="shared" si="30"/>
        <v>100</v>
      </c>
      <c r="H273" s="2314"/>
      <c r="I273" s="2317"/>
      <c r="J273" s="2320"/>
    </row>
    <row r="274" spans="1:10" ht="39.75" customHeight="1" x14ac:dyDescent="0.2">
      <c r="A274" s="2303"/>
      <c r="B274" s="2306"/>
      <c r="C274" s="1902" t="s">
        <v>69</v>
      </c>
      <c r="D274" s="1939" t="s">
        <v>914</v>
      </c>
      <c r="E274" s="1914">
        <v>32</v>
      </c>
      <c r="F274" s="2052">
        <v>32</v>
      </c>
      <c r="G274" s="1899">
        <f t="shared" si="30"/>
        <v>100</v>
      </c>
      <c r="H274" s="2315"/>
      <c r="I274" s="2318"/>
      <c r="J274" s="2321"/>
    </row>
    <row r="275" spans="1:10" ht="38.25" x14ac:dyDescent="0.2">
      <c r="A275" s="2246">
        <v>16</v>
      </c>
      <c r="B275" s="1987" t="s">
        <v>920</v>
      </c>
      <c r="C275" s="1902" t="s">
        <v>69</v>
      </c>
      <c r="D275" s="1939" t="s">
        <v>351</v>
      </c>
      <c r="E275" s="1914">
        <v>1</v>
      </c>
      <c r="F275" s="2051">
        <v>1</v>
      </c>
      <c r="G275" s="1899">
        <f t="shared" si="30"/>
        <v>100</v>
      </c>
      <c r="H275" s="1940">
        <v>1000</v>
      </c>
      <c r="I275" s="1942">
        <v>1000</v>
      </c>
      <c r="J275" s="1947">
        <f>+I275/H275*100</f>
        <v>100</v>
      </c>
    </row>
    <row r="276" spans="1:10" ht="38.25" x14ac:dyDescent="0.2">
      <c r="A276" s="2246">
        <v>17</v>
      </c>
      <c r="B276" s="1987" t="s">
        <v>915</v>
      </c>
      <c r="C276" s="1902" t="s">
        <v>69</v>
      </c>
      <c r="D276" s="1939" t="s">
        <v>57</v>
      </c>
      <c r="E276" s="1914">
        <v>1</v>
      </c>
      <c r="F276" s="2051">
        <v>1</v>
      </c>
      <c r="G276" s="1899">
        <f t="shared" si="30"/>
        <v>100</v>
      </c>
      <c r="H276" s="1940">
        <v>5296</v>
      </c>
      <c r="I276" s="1942">
        <v>5245.37</v>
      </c>
      <c r="J276" s="1947">
        <f>+I276/H276*100</f>
        <v>99.043995468277942</v>
      </c>
    </row>
    <row r="277" spans="1:10" ht="25.5" x14ac:dyDescent="0.2">
      <c r="A277" s="2246">
        <v>18</v>
      </c>
      <c r="B277" s="1987" t="s">
        <v>916</v>
      </c>
      <c r="C277" s="1902" t="s">
        <v>69</v>
      </c>
      <c r="D277" s="1939" t="s">
        <v>57</v>
      </c>
      <c r="E277" s="1914">
        <v>1</v>
      </c>
      <c r="F277" s="2052">
        <v>0</v>
      </c>
      <c r="G277" s="1899">
        <f t="shared" si="30"/>
        <v>0</v>
      </c>
      <c r="H277" s="1940">
        <v>2346206</v>
      </c>
      <c r="I277" s="1942">
        <v>0</v>
      </c>
      <c r="J277" s="1947">
        <f>+I277/H277*100</f>
        <v>0</v>
      </c>
    </row>
    <row r="278" spans="1:10" ht="38.25" x14ac:dyDescent="0.2">
      <c r="A278" s="2246">
        <v>19</v>
      </c>
      <c r="B278" s="1987" t="s">
        <v>917</v>
      </c>
      <c r="C278" s="1902" t="s">
        <v>69</v>
      </c>
      <c r="D278" s="1939" t="s">
        <v>706</v>
      </c>
      <c r="E278" s="1914">
        <v>1</v>
      </c>
      <c r="F278" s="2052">
        <v>0</v>
      </c>
      <c r="G278" s="1899">
        <f t="shared" si="30"/>
        <v>0</v>
      </c>
      <c r="H278" s="1940">
        <v>109341</v>
      </c>
      <c r="I278" s="1942">
        <v>0</v>
      </c>
      <c r="J278" s="1947">
        <f t="shared" ref="J278:J279" si="32">+I278*1/H278</f>
        <v>0</v>
      </c>
    </row>
    <row r="279" spans="1:10" ht="40.5" customHeight="1" x14ac:dyDescent="0.2">
      <c r="A279" s="2246">
        <v>20</v>
      </c>
      <c r="B279" s="1987" t="s">
        <v>918</v>
      </c>
      <c r="C279" s="1902" t="s">
        <v>69</v>
      </c>
      <c r="D279" s="1939" t="s">
        <v>706</v>
      </c>
      <c r="E279" s="1914">
        <v>1</v>
      </c>
      <c r="F279" s="2052">
        <v>0</v>
      </c>
      <c r="G279" s="1899">
        <f t="shared" si="30"/>
        <v>0</v>
      </c>
      <c r="H279" s="1940">
        <v>109606</v>
      </c>
      <c r="I279" s="1942">
        <v>0</v>
      </c>
      <c r="J279" s="1947">
        <f t="shared" si="32"/>
        <v>0</v>
      </c>
    </row>
    <row r="280" spans="1:10" ht="20.25" customHeight="1" x14ac:dyDescent="0.2">
      <c r="A280" s="2322" t="s">
        <v>1888</v>
      </c>
      <c r="B280" s="2322"/>
      <c r="C280" s="1909"/>
      <c r="D280" s="1909"/>
      <c r="E280" s="1974"/>
      <c r="F280" s="1974"/>
      <c r="G280" s="1974"/>
      <c r="H280" s="1931">
        <f>SUM(H281:H293)</f>
        <v>4914613</v>
      </c>
      <c r="I280" s="2250">
        <f>SUM(I281:I293)</f>
        <v>1154662.9200000002</v>
      </c>
      <c r="J280" s="1932">
        <f t="shared" ref="J280:J293" si="33">+I280/H280*100</f>
        <v>23.494483085443356</v>
      </c>
    </row>
    <row r="281" spans="1:10" ht="25.5" customHeight="1" x14ac:dyDescent="0.2">
      <c r="A281" s="2246">
        <v>1</v>
      </c>
      <c r="B281" s="2245" t="s">
        <v>926</v>
      </c>
      <c r="C281" s="1893" t="s">
        <v>70</v>
      </c>
      <c r="D281" s="1939" t="s">
        <v>57</v>
      </c>
      <c r="E281" s="2056">
        <v>1</v>
      </c>
      <c r="F281" s="2056">
        <v>0</v>
      </c>
      <c r="G281" s="2057">
        <f t="shared" ref="G281" si="34">F281*100/E281</f>
        <v>0</v>
      </c>
      <c r="H281" s="1915">
        <v>0</v>
      </c>
      <c r="I281" s="1899">
        <v>0</v>
      </c>
      <c r="J281" s="1947">
        <v>0</v>
      </c>
    </row>
    <row r="282" spans="1:10" ht="25.5" x14ac:dyDescent="0.2">
      <c r="A282" s="2246">
        <v>2</v>
      </c>
      <c r="B282" s="2245" t="s">
        <v>927</v>
      </c>
      <c r="C282" s="1893" t="s">
        <v>350</v>
      </c>
      <c r="D282" s="1939" t="s">
        <v>57</v>
      </c>
      <c r="E282" s="2056">
        <v>1</v>
      </c>
      <c r="F282" s="2056">
        <v>0</v>
      </c>
      <c r="G282" s="2058">
        <v>0</v>
      </c>
      <c r="H282" s="1915">
        <v>341083</v>
      </c>
      <c r="I282" s="1899">
        <v>0</v>
      </c>
      <c r="J282" s="1947">
        <f t="shared" si="33"/>
        <v>0</v>
      </c>
    </row>
    <row r="283" spans="1:10" ht="25.5" customHeight="1" x14ac:dyDescent="0.2">
      <c r="A283" s="2246">
        <v>3</v>
      </c>
      <c r="B283" s="1917" t="s">
        <v>928</v>
      </c>
      <c r="C283" s="1893" t="s">
        <v>350</v>
      </c>
      <c r="D283" s="1939" t="s">
        <v>57</v>
      </c>
      <c r="E283" s="2056">
        <v>1</v>
      </c>
      <c r="F283" s="2056">
        <v>0</v>
      </c>
      <c r="G283" s="2058">
        <v>0</v>
      </c>
      <c r="H283" s="1915">
        <v>12189</v>
      </c>
      <c r="I283" s="1899">
        <v>0</v>
      </c>
      <c r="J283" s="1947">
        <f t="shared" si="33"/>
        <v>0</v>
      </c>
    </row>
    <row r="284" spans="1:10" ht="18" customHeight="1" x14ac:dyDescent="0.2">
      <c r="A284" s="2246">
        <v>4</v>
      </c>
      <c r="B284" s="2059" t="s">
        <v>929</v>
      </c>
      <c r="C284" s="1902" t="s">
        <v>70</v>
      </c>
      <c r="D284" s="1902" t="s">
        <v>904</v>
      </c>
      <c r="E284" s="2060">
        <v>0.01</v>
      </c>
      <c r="F284" s="2060">
        <v>0.01</v>
      </c>
      <c r="G284" s="2061">
        <f t="shared" ref="G284:G293" si="35">(F284/E284)*100</f>
        <v>100</v>
      </c>
      <c r="H284" s="1907">
        <v>36440</v>
      </c>
      <c r="I284" s="1906">
        <v>30005</v>
      </c>
      <c r="J284" s="1947">
        <f t="shared" si="33"/>
        <v>82.340834248079034</v>
      </c>
    </row>
    <row r="285" spans="1:10" ht="27.75" customHeight="1" x14ac:dyDescent="0.2">
      <c r="A285" s="2246">
        <v>5</v>
      </c>
      <c r="B285" s="2059" t="s">
        <v>930</v>
      </c>
      <c r="C285" s="1902" t="s">
        <v>70</v>
      </c>
      <c r="D285" s="1902" t="s">
        <v>181</v>
      </c>
      <c r="E285" s="2060">
        <v>1</v>
      </c>
      <c r="F285" s="2060">
        <v>0.6</v>
      </c>
      <c r="G285" s="2061">
        <f t="shared" si="35"/>
        <v>60</v>
      </c>
      <c r="H285" s="1907">
        <v>73164</v>
      </c>
      <c r="I285" s="1906">
        <v>42947.78</v>
      </c>
      <c r="J285" s="1947">
        <f t="shared" si="33"/>
        <v>58.700699797714719</v>
      </c>
    </row>
    <row r="286" spans="1:10" ht="20.25" customHeight="1" x14ac:dyDescent="0.2">
      <c r="A286" s="2246">
        <v>6</v>
      </c>
      <c r="B286" s="2059" t="s">
        <v>931</v>
      </c>
      <c r="C286" s="1902" t="s">
        <v>350</v>
      </c>
      <c r="D286" s="1902" t="s">
        <v>904</v>
      </c>
      <c r="E286" s="2060">
        <v>1</v>
      </c>
      <c r="F286" s="2060">
        <v>0.95</v>
      </c>
      <c r="G286" s="2062">
        <f t="shared" si="35"/>
        <v>95</v>
      </c>
      <c r="H286" s="1907">
        <v>673435</v>
      </c>
      <c r="I286" s="1906">
        <v>659857.77</v>
      </c>
      <c r="J286" s="1947">
        <f t="shared" si="33"/>
        <v>97.983884116507156</v>
      </c>
    </row>
    <row r="287" spans="1:10" ht="18" customHeight="1" x14ac:dyDescent="0.2">
      <c r="A287" s="2246">
        <v>7</v>
      </c>
      <c r="B287" s="2059" t="s">
        <v>932</v>
      </c>
      <c r="C287" s="2063" t="s">
        <v>70</v>
      </c>
      <c r="D287" s="1902" t="s">
        <v>904</v>
      </c>
      <c r="E287" s="2060">
        <v>0.01</v>
      </c>
      <c r="F287" s="2060">
        <v>0.01</v>
      </c>
      <c r="G287" s="2061">
        <f t="shared" si="35"/>
        <v>100</v>
      </c>
      <c r="H287" s="1907">
        <v>27890</v>
      </c>
      <c r="I287" s="1906">
        <v>24029.38</v>
      </c>
      <c r="J287" s="1947">
        <f t="shared" si="33"/>
        <v>86.157690928648265</v>
      </c>
    </row>
    <row r="288" spans="1:10" ht="39" customHeight="1" x14ac:dyDescent="0.2">
      <c r="A288" s="2246">
        <v>8</v>
      </c>
      <c r="B288" s="2064" t="s">
        <v>938</v>
      </c>
      <c r="C288" s="1902" t="s">
        <v>350</v>
      </c>
      <c r="D288" s="1902" t="s">
        <v>904</v>
      </c>
      <c r="E288" s="2060">
        <v>0.15</v>
      </c>
      <c r="F288" s="2065">
        <v>0.1</v>
      </c>
      <c r="G288" s="2061">
        <f t="shared" si="35"/>
        <v>66.666666666666671</v>
      </c>
      <c r="H288" s="1907">
        <v>163560</v>
      </c>
      <c r="I288" s="1906">
        <v>143875.9</v>
      </c>
      <c r="J288" s="1947">
        <f t="shared" si="33"/>
        <v>87.965211543164585</v>
      </c>
    </row>
    <row r="289" spans="1:10" ht="30" customHeight="1" x14ac:dyDescent="0.2">
      <c r="A289" s="2246">
        <v>9</v>
      </c>
      <c r="B289" s="2064" t="s">
        <v>937</v>
      </c>
      <c r="C289" s="1902" t="s">
        <v>70</v>
      </c>
      <c r="D289" s="1902" t="s">
        <v>904</v>
      </c>
      <c r="E289" s="2060">
        <v>0.01</v>
      </c>
      <c r="F289" s="2060">
        <v>3.0000000000000001E-3</v>
      </c>
      <c r="G289" s="2061">
        <f t="shared" si="35"/>
        <v>30</v>
      </c>
      <c r="H289" s="1907">
        <v>110580</v>
      </c>
      <c r="I289" s="1906">
        <v>25640</v>
      </c>
      <c r="J289" s="1947">
        <f t="shared" si="33"/>
        <v>23.186833062036534</v>
      </c>
    </row>
    <row r="290" spans="1:10" ht="29.25" customHeight="1" x14ac:dyDescent="0.2">
      <c r="A290" s="2246">
        <v>10</v>
      </c>
      <c r="B290" s="2059" t="s">
        <v>933</v>
      </c>
      <c r="C290" s="1902" t="s">
        <v>70</v>
      </c>
      <c r="D290" s="1902" t="s">
        <v>904</v>
      </c>
      <c r="E290" s="2060">
        <v>1</v>
      </c>
      <c r="F290" s="2066">
        <v>0.7</v>
      </c>
      <c r="G290" s="2061">
        <f t="shared" si="35"/>
        <v>70</v>
      </c>
      <c r="H290" s="1907">
        <v>614651</v>
      </c>
      <c r="I290" s="1906">
        <v>228307.09</v>
      </c>
      <c r="J290" s="1947">
        <f t="shared" si="33"/>
        <v>37.144182633722231</v>
      </c>
    </row>
    <row r="291" spans="1:10" ht="38.25" x14ac:dyDescent="0.2">
      <c r="A291" s="2246">
        <v>11</v>
      </c>
      <c r="B291" s="2064" t="s">
        <v>2303</v>
      </c>
      <c r="C291" s="1902" t="s">
        <v>350</v>
      </c>
      <c r="D291" s="1902" t="s">
        <v>934</v>
      </c>
      <c r="E291" s="2060">
        <v>1</v>
      </c>
      <c r="F291" s="2066">
        <v>0</v>
      </c>
      <c r="G291" s="2061">
        <f t="shared" si="35"/>
        <v>0</v>
      </c>
      <c r="H291" s="1907">
        <v>8486</v>
      </c>
      <c r="I291" s="1906">
        <v>0</v>
      </c>
      <c r="J291" s="1947">
        <f t="shared" si="33"/>
        <v>0</v>
      </c>
    </row>
    <row r="292" spans="1:10" ht="38.25" x14ac:dyDescent="0.2">
      <c r="A292" s="2246">
        <v>12</v>
      </c>
      <c r="B292" s="2064" t="s">
        <v>935</v>
      </c>
      <c r="C292" s="1902" t="s">
        <v>70</v>
      </c>
      <c r="D292" s="1902" t="s">
        <v>934</v>
      </c>
      <c r="E292" s="2060">
        <v>1</v>
      </c>
      <c r="F292" s="2066">
        <v>0</v>
      </c>
      <c r="G292" s="2061">
        <f t="shared" si="35"/>
        <v>0</v>
      </c>
      <c r="H292" s="1907">
        <v>62206</v>
      </c>
      <c r="I292" s="1906">
        <v>0</v>
      </c>
      <c r="J292" s="1947">
        <f t="shared" si="33"/>
        <v>0</v>
      </c>
    </row>
    <row r="293" spans="1:10" ht="25.5" x14ac:dyDescent="0.2">
      <c r="A293" s="2246">
        <v>13</v>
      </c>
      <c r="B293" s="2064" t="s">
        <v>936</v>
      </c>
      <c r="C293" s="1902" t="s">
        <v>70</v>
      </c>
      <c r="D293" s="1902" t="s">
        <v>934</v>
      </c>
      <c r="E293" s="2060">
        <v>1</v>
      </c>
      <c r="F293" s="2066">
        <v>0</v>
      </c>
      <c r="G293" s="2061">
        <f t="shared" si="35"/>
        <v>0</v>
      </c>
      <c r="H293" s="1907">
        <v>2790929</v>
      </c>
      <c r="I293" s="1906">
        <v>0</v>
      </c>
      <c r="J293" s="1947">
        <f t="shared" si="33"/>
        <v>0</v>
      </c>
    </row>
  </sheetData>
  <mergeCells count="92">
    <mergeCell ref="A243:A248"/>
    <mergeCell ref="B243:B248"/>
    <mergeCell ref="A230:A231"/>
    <mergeCell ref="B230:B231"/>
    <mergeCell ref="A233:A235"/>
    <mergeCell ref="B233:B235"/>
    <mergeCell ref="A237:A241"/>
    <mergeCell ref="B237:B241"/>
    <mergeCell ref="A219:A221"/>
    <mergeCell ref="B219:B221"/>
    <mergeCell ref="A222:A225"/>
    <mergeCell ref="B222:B225"/>
    <mergeCell ref="A226:A229"/>
    <mergeCell ref="B226:B229"/>
    <mergeCell ref="A209:A211"/>
    <mergeCell ref="B209:B211"/>
    <mergeCell ref="A212:A215"/>
    <mergeCell ref="B212:B215"/>
    <mergeCell ref="A216:A218"/>
    <mergeCell ref="B216:B218"/>
    <mergeCell ref="A199:A201"/>
    <mergeCell ref="B199:B201"/>
    <mergeCell ref="A202:A204"/>
    <mergeCell ref="B202:B204"/>
    <mergeCell ref="A205:A208"/>
    <mergeCell ref="B205:B208"/>
    <mergeCell ref="A185:A188"/>
    <mergeCell ref="B185:B188"/>
    <mergeCell ref="A189:A192"/>
    <mergeCell ref="B189:B192"/>
    <mergeCell ref="A196:A198"/>
    <mergeCell ref="B196:B198"/>
    <mergeCell ref="A174:A176"/>
    <mergeCell ref="B174:B176"/>
    <mergeCell ref="A177:A180"/>
    <mergeCell ref="B177:B180"/>
    <mergeCell ref="A181:A184"/>
    <mergeCell ref="B181:B184"/>
    <mergeCell ref="B166:B170"/>
    <mergeCell ref="A153:A156"/>
    <mergeCell ref="A166:A170"/>
    <mergeCell ref="A171:A173"/>
    <mergeCell ref="B171:B173"/>
    <mergeCell ref="A149:A152"/>
    <mergeCell ref="B149:B152"/>
    <mergeCell ref="B153:B156"/>
    <mergeCell ref="A157:A160"/>
    <mergeCell ref="B157:B160"/>
    <mergeCell ref="A132:A140"/>
    <mergeCell ref="B132:B140"/>
    <mergeCell ref="A141:A144"/>
    <mergeCell ref="B141:B144"/>
    <mergeCell ref="A145:A148"/>
    <mergeCell ref="B145:B148"/>
    <mergeCell ref="B118:B122"/>
    <mergeCell ref="A123:A127"/>
    <mergeCell ref="B123:B127"/>
    <mergeCell ref="A128:A131"/>
    <mergeCell ref="B128:B131"/>
    <mergeCell ref="A2:B2"/>
    <mergeCell ref="A6:A7"/>
    <mergeCell ref="B6:B7"/>
    <mergeCell ref="C6:C7"/>
    <mergeCell ref="D6:G6"/>
    <mergeCell ref="A9:B9"/>
    <mergeCell ref="C8:G8"/>
    <mergeCell ref="A4:J4"/>
    <mergeCell ref="A5:J5"/>
    <mergeCell ref="A3:J3"/>
    <mergeCell ref="H6:J6"/>
    <mergeCell ref="H272:H274"/>
    <mergeCell ref="I272:I274"/>
    <mergeCell ref="J272:J274"/>
    <mergeCell ref="A280:B280"/>
    <mergeCell ref="A261:B261"/>
    <mergeCell ref="A267:B267"/>
    <mergeCell ref="C34:C37"/>
    <mergeCell ref="C28:C31"/>
    <mergeCell ref="C38:C41"/>
    <mergeCell ref="A272:A274"/>
    <mergeCell ref="B272:B274"/>
    <mergeCell ref="B250:B252"/>
    <mergeCell ref="A250:A252"/>
    <mergeCell ref="A95:A96"/>
    <mergeCell ref="B95:B96"/>
    <mergeCell ref="A102:A107"/>
    <mergeCell ref="B102:B107"/>
    <mergeCell ref="A108:A113"/>
    <mergeCell ref="B108:B113"/>
    <mergeCell ref="A114:A117"/>
    <mergeCell ref="B114:B117"/>
    <mergeCell ref="A118:A122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 differentOddEven="1">
    <oddHeader>&amp;L&amp;G</oddHeader>
    <oddFooter>&amp;L&amp;G</oddFooter>
    <evenHeader>&amp;L&amp;G</even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7"/>
  <sheetViews>
    <sheetView view="pageBreakPreview" topLeftCell="A31" zoomScaleNormal="100" zoomScaleSheetLayoutView="100" workbookViewId="0">
      <selection activeCell="H30" sqref="H30"/>
    </sheetView>
  </sheetViews>
  <sheetFormatPr baseColWidth="10" defaultRowHeight="12.75" x14ac:dyDescent="0.2"/>
  <cols>
    <col min="1" max="1" width="4.140625" style="4" customWidth="1"/>
    <col min="2" max="2" width="61.42578125" style="2" customWidth="1"/>
    <col min="3" max="3" width="16.28515625" style="5" customWidth="1"/>
    <col min="4" max="4" width="14.5703125" style="6" customWidth="1"/>
    <col min="5" max="5" width="12.42578125" style="40" customWidth="1"/>
    <col min="6" max="6" width="12.5703125" style="2" customWidth="1"/>
    <col min="7" max="7" width="11.5703125" style="2" customWidth="1"/>
    <col min="8" max="8" width="13.85546875" style="2" customWidth="1"/>
    <col min="9" max="9" width="13.5703125" style="2" customWidth="1"/>
    <col min="10" max="10" width="9.5703125" style="2" customWidth="1"/>
    <col min="11" max="16384" width="11.42578125" style="2"/>
  </cols>
  <sheetData>
    <row r="1" spans="1:12" ht="6" customHeight="1" x14ac:dyDescent="0.2"/>
    <row r="2" spans="1:12" ht="14.25" customHeight="1" x14ac:dyDescent="0.2">
      <c r="A2" s="2447" t="s">
        <v>20</v>
      </c>
      <c r="B2" s="2448"/>
      <c r="C2" s="581"/>
      <c r="D2" s="1627"/>
      <c r="E2" s="582"/>
      <c r="F2" s="588"/>
      <c r="G2" s="584"/>
      <c r="H2" s="584"/>
      <c r="I2" s="584"/>
      <c r="J2" s="585"/>
    </row>
    <row r="3" spans="1:12" ht="25.5" customHeight="1" x14ac:dyDescent="0.2">
      <c r="A3" s="2429" t="s">
        <v>1145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2" ht="26.25" customHeight="1" x14ac:dyDescent="0.2">
      <c r="A4" s="2366" t="s">
        <v>6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2" ht="19.5" customHeight="1" x14ac:dyDescent="0.2">
      <c r="A5" s="2431" t="s">
        <v>13</v>
      </c>
      <c r="B5" s="2432"/>
      <c r="C5" s="2432"/>
      <c r="D5" s="2432"/>
      <c r="E5" s="2432"/>
      <c r="F5" s="2432"/>
      <c r="G5" s="2432"/>
      <c r="H5" s="2432"/>
      <c r="I5" s="2432"/>
      <c r="J5" s="2433"/>
    </row>
    <row r="6" spans="1:12" ht="13.5" customHeight="1" x14ac:dyDescent="0.2">
      <c r="A6" s="2449" t="s">
        <v>0</v>
      </c>
      <c r="B6" s="2449" t="s">
        <v>1</v>
      </c>
      <c r="C6" s="2449" t="s">
        <v>2</v>
      </c>
      <c r="D6" s="2443" t="s">
        <v>1781</v>
      </c>
      <c r="E6" s="2443"/>
      <c r="F6" s="2443"/>
      <c r="G6" s="2443"/>
      <c r="H6" s="2443" t="s">
        <v>774</v>
      </c>
      <c r="I6" s="2443"/>
      <c r="J6" s="2443"/>
    </row>
    <row r="7" spans="1:12" ht="26.25" customHeight="1" x14ac:dyDescent="0.2">
      <c r="A7" s="2449"/>
      <c r="B7" s="2449"/>
      <c r="C7" s="2449"/>
      <c r="D7" s="1628" t="s">
        <v>3</v>
      </c>
      <c r="E7" s="1628" t="s">
        <v>4</v>
      </c>
      <c r="F7" s="1628" t="s">
        <v>747</v>
      </c>
      <c r="G7" s="1628" t="s">
        <v>746</v>
      </c>
      <c r="H7" s="580" t="s">
        <v>748</v>
      </c>
      <c r="I7" s="1628" t="s">
        <v>747</v>
      </c>
      <c r="J7" s="1628" t="s">
        <v>746</v>
      </c>
    </row>
    <row r="8" spans="1:12" ht="17.25" customHeight="1" x14ac:dyDescent="0.2">
      <c r="A8" s="586"/>
      <c r="B8" s="587"/>
      <c r="C8" s="2444" t="s">
        <v>1865</v>
      </c>
      <c r="D8" s="2445"/>
      <c r="E8" s="2445"/>
      <c r="F8" s="2445"/>
      <c r="G8" s="2446"/>
      <c r="H8" s="577">
        <f>+H9+H26+H28+H31</f>
        <v>10508528</v>
      </c>
      <c r="I8" s="578">
        <f>+I9+I26+I28+I31</f>
        <v>3378763.5</v>
      </c>
      <c r="J8" s="576">
        <f t="shared" ref="J8:J10" si="0">+I8/H8*100</f>
        <v>32.152585975885486</v>
      </c>
      <c r="L8" s="93"/>
    </row>
    <row r="9" spans="1:12" ht="21" customHeight="1" x14ac:dyDescent="0.2">
      <c r="A9" s="2458" t="s">
        <v>1880</v>
      </c>
      <c r="B9" s="2458"/>
      <c r="C9" s="608"/>
      <c r="D9" s="608"/>
      <c r="E9" s="608"/>
      <c r="F9" s="608"/>
      <c r="G9" s="608"/>
      <c r="H9" s="590">
        <f>+H10+H16</f>
        <v>1873500</v>
      </c>
      <c r="I9" s="591">
        <f>+I10+I16</f>
        <v>194492.18</v>
      </c>
      <c r="J9" s="592">
        <f t="shared" si="0"/>
        <v>10.381221243661596</v>
      </c>
    </row>
    <row r="10" spans="1:12" ht="19.5" customHeight="1" x14ac:dyDescent="0.2">
      <c r="A10" s="579"/>
      <c r="B10" s="616" t="s">
        <v>1881</v>
      </c>
      <c r="C10" s="616"/>
      <c r="D10" s="617"/>
      <c r="E10" s="618"/>
      <c r="F10" s="617"/>
      <c r="G10" s="617"/>
      <c r="H10" s="1611">
        <f>SUM(H11:H15)</f>
        <v>1837568</v>
      </c>
      <c r="I10" s="619">
        <f>SUM(I11:I15)</f>
        <v>181796</v>
      </c>
      <c r="J10" s="620">
        <f t="shared" si="0"/>
        <v>9.8932937447757041</v>
      </c>
    </row>
    <row r="11" spans="1:12" ht="26.25" customHeight="1" x14ac:dyDescent="0.25">
      <c r="A11" s="596">
        <v>1</v>
      </c>
      <c r="B11" s="607" t="s">
        <v>1866</v>
      </c>
      <c r="C11" s="571" t="s">
        <v>186</v>
      </c>
      <c r="D11" s="621" t="s">
        <v>1867</v>
      </c>
      <c r="E11" s="622">
        <v>1</v>
      </c>
      <c r="F11" s="622">
        <v>0.85609999999999997</v>
      </c>
      <c r="G11" s="622">
        <f>+F11/E11*100</f>
        <v>85.61</v>
      </c>
      <c r="H11" s="572">
        <v>721260</v>
      </c>
      <c r="I11" s="623">
        <v>119716</v>
      </c>
      <c r="J11" s="624">
        <f t="shared" ref="J11:J15" si="1">(I11/H11)*100</f>
        <v>16.598175415245542</v>
      </c>
      <c r="K11"/>
    </row>
    <row r="12" spans="1:12" ht="25.5" x14ac:dyDescent="0.25">
      <c r="A12" s="596">
        <v>2</v>
      </c>
      <c r="B12" s="607" t="s">
        <v>1868</v>
      </c>
      <c r="C12" s="571" t="s">
        <v>186</v>
      </c>
      <c r="D12" s="621" t="s">
        <v>1867</v>
      </c>
      <c r="E12" s="622">
        <v>1</v>
      </c>
      <c r="F12" s="622">
        <v>0.9627</v>
      </c>
      <c r="G12" s="622">
        <f>+F12/E12*100</f>
        <v>96.27</v>
      </c>
      <c r="H12" s="572">
        <v>61631</v>
      </c>
      <c r="I12" s="623">
        <v>5970</v>
      </c>
      <c r="J12" s="624">
        <f t="shared" si="1"/>
        <v>9.6866836494621218</v>
      </c>
      <c r="K12"/>
    </row>
    <row r="13" spans="1:12" ht="38.25" x14ac:dyDescent="0.25">
      <c r="A13" s="596">
        <v>3</v>
      </c>
      <c r="B13" s="607" t="s">
        <v>1882</v>
      </c>
      <c r="C13" s="571" t="s">
        <v>187</v>
      </c>
      <c r="D13" s="621" t="s">
        <v>1867</v>
      </c>
      <c r="E13" s="622">
        <v>1</v>
      </c>
      <c r="F13" s="622">
        <v>0</v>
      </c>
      <c r="G13" s="622">
        <v>0</v>
      </c>
      <c r="H13" s="572">
        <v>928567</v>
      </c>
      <c r="I13" s="623">
        <v>0</v>
      </c>
      <c r="J13" s="624">
        <f t="shared" si="1"/>
        <v>0</v>
      </c>
      <c r="K13"/>
    </row>
    <row r="14" spans="1:12" ht="51" x14ac:dyDescent="0.2">
      <c r="A14" s="596">
        <v>4</v>
      </c>
      <c r="B14" s="607" t="s">
        <v>1869</v>
      </c>
      <c r="C14" s="571" t="s">
        <v>188</v>
      </c>
      <c r="D14" s="625" t="s">
        <v>1870</v>
      </c>
      <c r="E14" s="622">
        <v>1</v>
      </c>
      <c r="F14" s="622">
        <v>1</v>
      </c>
      <c r="G14" s="605">
        <f>+F14/E14*100</f>
        <v>100</v>
      </c>
      <c r="H14" s="572">
        <v>56110</v>
      </c>
      <c r="I14" s="623">
        <v>56110</v>
      </c>
      <c r="J14" s="624">
        <f t="shared" si="1"/>
        <v>100</v>
      </c>
      <c r="K14" s="57"/>
    </row>
    <row r="15" spans="1:12" ht="49.5" customHeight="1" x14ac:dyDescent="0.25">
      <c r="A15" s="596">
        <v>5</v>
      </c>
      <c r="B15" s="607" t="s">
        <v>1871</v>
      </c>
      <c r="C15" s="571" t="s">
        <v>37</v>
      </c>
      <c r="D15" s="626" t="s">
        <v>1870</v>
      </c>
      <c r="E15" s="627">
        <v>1</v>
      </c>
      <c r="F15" s="627">
        <v>1</v>
      </c>
      <c r="G15" s="605">
        <f>+F15/E15*100</f>
        <v>100</v>
      </c>
      <c r="H15" s="572">
        <v>70000</v>
      </c>
      <c r="I15" s="623">
        <v>0</v>
      </c>
      <c r="J15" s="628">
        <f t="shared" si="1"/>
        <v>0</v>
      </c>
      <c r="K15"/>
    </row>
    <row r="16" spans="1:12" ht="18.75" customHeight="1" x14ac:dyDescent="0.2">
      <c r="A16" s="609"/>
      <c r="B16" s="610" t="s">
        <v>1883</v>
      </c>
      <c r="C16" s="611"/>
      <c r="D16" s="611"/>
      <c r="E16" s="612"/>
      <c r="F16" s="612"/>
      <c r="G16" s="606"/>
      <c r="H16" s="606">
        <f>SUM(H17:H25)</f>
        <v>35932</v>
      </c>
      <c r="I16" s="606">
        <f>SUM(I17:I25)</f>
        <v>12696.18</v>
      </c>
      <c r="J16" s="573">
        <f>+I16/H16*100</f>
        <v>35.333908493821667</v>
      </c>
    </row>
    <row r="17" spans="1:11" ht="16.5" customHeight="1" x14ac:dyDescent="0.2">
      <c r="A17" s="596">
        <v>1</v>
      </c>
      <c r="B17" s="613" t="s">
        <v>1872</v>
      </c>
      <c r="C17" s="570" t="s">
        <v>32</v>
      </c>
      <c r="D17" s="570" t="s">
        <v>41</v>
      </c>
      <c r="E17" s="604">
        <v>5</v>
      </c>
      <c r="F17" s="604">
        <v>5</v>
      </c>
      <c r="G17" s="605">
        <f t="shared" ref="G17:G25" si="2">+F17/E17*100</f>
        <v>100</v>
      </c>
      <c r="H17" s="569">
        <v>4500</v>
      </c>
      <c r="I17" s="569">
        <v>3876.43</v>
      </c>
      <c r="J17" s="569">
        <f>(I17/H17)*100</f>
        <v>86.142888888888876</v>
      </c>
    </row>
    <row r="18" spans="1:11" ht="15.75" customHeight="1" x14ac:dyDescent="0.2">
      <c r="A18" s="596">
        <v>2</v>
      </c>
      <c r="B18" s="613" t="s">
        <v>1873</v>
      </c>
      <c r="C18" s="570" t="s">
        <v>32</v>
      </c>
      <c r="D18" s="570" t="s">
        <v>438</v>
      </c>
      <c r="E18" s="604">
        <v>1</v>
      </c>
      <c r="F18" s="604">
        <v>1</v>
      </c>
      <c r="G18" s="605">
        <f t="shared" si="2"/>
        <v>100</v>
      </c>
      <c r="H18" s="569">
        <v>0</v>
      </c>
      <c r="I18" s="569">
        <v>0</v>
      </c>
      <c r="J18" s="569">
        <v>100</v>
      </c>
    </row>
    <row r="19" spans="1:11" ht="17.25" customHeight="1" x14ac:dyDescent="0.2">
      <c r="A19" s="596">
        <v>3</v>
      </c>
      <c r="B19" s="613" t="s">
        <v>1874</v>
      </c>
      <c r="C19" s="570" t="s">
        <v>32</v>
      </c>
      <c r="D19" s="570" t="s">
        <v>167</v>
      </c>
      <c r="E19" s="604">
        <v>26</v>
      </c>
      <c r="F19" s="604">
        <v>2</v>
      </c>
      <c r="G19" s="605">
        <f t="shared" si="2"/>
        <v>7.6923076923076925</v>
      </c>
      <c r="H19" s="569">
        <v>0</v>
      </c>
      <c r="I19" s="614">
        <v>0</v>
      </c>
      <c r="J19" s="569">
        <v>2</v>
      </c>
    </row>
    <row r="20" spans="1:11" ht="25.5" x14ac:dyDescent="0.2">
      <c r="A20" s="596">
        <v>4</v>
      </c>
      <c r="B20" s="613" t="s">
        <v>1875</v>
      </c>
      <c r="C20" s="570" t="s">
        <v>32</v>
      </c>
      <c r="D20" s="570" t="s">
        <v>1876</v>
      </c>
      <c r="E20" s="604">
        <v>1</v>
      </c>
      <c r="F20" s="604">
        <v>1</v>
      </c>
      <c r="G20" s="605">
        <f t="shared" si="2"/>
        <v>100</v>
      </c>
      <c r="H20" s="569">
        <v>0</v>
      </c>
      <c r="I20" s="569">
        <v>0</v>
      </c>
      <c r="J20" s="569">
        <v>0</v>
      </c>
    </row>
    <row r="21" spans="1:11" ht="25.5" x14ac:dyDescent="0.2">
      <c r="A21" s="596">
        <v>5</v>
      </c>
      <c r="B21" s="613" t="s">
        <v>1877</v>
      </c>
      <c r="C21" s="570" t="s">
        <v>741</v>
      </c>
      <c r="D21" s="570" t="s">
        <v>181</v>
      </c>
      <c r="E21" s="604">
        <v>1</v>
      </c>
      <c r="F21" s="604">
        <v>1</v>
      </c>
      <c r="G21" s="605">
        <f t="shared" si="2"/>
        <v>100</v>
      </c>
      <c r="H21" s="569">
        <v>0</v>
      </c>
      <c r="I21" s="569">
        <v>0</v>
      </c>
      <c r="J21" s="569">
        <v>0</v>
      </c>
    </row>
    <row r="22" spans="1:11" ht="18.75" customHeight="1" x14ac:dyDescent="0.2">
      <c r="A22" s="596">
        <v>6</v>
      </c>
      <c r="B22" s="613" t="s">
        <v>1878</v>
      </c>
      <c r="C22" s="570" t="s">
        <v>32</v>
      </c>
      <c r="D22" s="570" t="s">
        <v>731</v>
      </c>
      <c r="E22" s="604">
        <v>1</v>
      </c>
      <c r="F22" s="604">
        <v>1</v>
      </c>
      <c r="G22" s="605">
        <f t="shared" si="2"/>
        <v>100</v>
      </c>
      <c r="H22" s="569">
        <v>0</v>
      </c>
      <c r="I22" s="569">
        <v>0</v>
      </c>
      <c r="J22" s="569">
        <v>0</v>
      </c>
    </row>
    <row r="23" spans="1:11" ht="18.75" customHeight="1" x14ac:dyDescent="0.2">
      <c r="A23" s="596">
        <v>7</v>
      </c>
      <c r="B23" s="613" t="s">
        <v>355</v>
      </c>
      <c r="C23" s="570" t="s">
        <v>32</v>
      </c>
      <c r="D23" s="570" t="s">
        <v>1127</v>
      </c>
      <c r="E23" s="604">
        <v>2</v>
      </c>
      <c r="F23" s="604">
        <v>1</v>
      </c>
      <c r="G23" s="605">
        <f t="shared" si="2"/>
        <v>50</v>
      </c>
      <c r="H23" s="572">
        <v>6000</v>
      </c>
      <c r="I23" s="615">
        <v>3000</v>
      </c>
      <c r="J23" s="569">
        <f t="shared" ref="J23:J26" si="3">(I23/H23)*100</f>
        <v>50</v>
      </c>
    </row>
    <row r="24" spans="1:11" ht="25.5" x14ac:dyDescent="0.2">
      <c r="A24" s="596">
        <v>8</v>
      </c>
      <c r="B24" s="613" t="s">
        <v>1879</v>
      </c>
      <c r="C24" s="570" t="s">
        <v>32</v>
      </c>
      <c r="D24" s="594" t="s">
        <v>110</v>
      </c>
      <c r="E24" s="604">
        <v>2</v>
      </c>
      <c r="F24" s="604">
        <v>1</v>
      </c>
      <c r="G24" s="605">
        <f t="shared" si="2"/>
        <v>50</v>
      </c>
      <c r="H24" s="572">
        <v>24600</v>
      </c>
      <c r="I24" s="615">
        <v>5611.85</v>
      </c>
      <c r="J24" s="569">
        <f t="shared" si="3"/>
        <v>22.81239837398374</v>
      </c>
    </row>
    <row r="25" spans="1:11" ht="15" customHeight="1" x14ac:dyDescent="0.2">
      <c r="A25" s="629">
        <v>9</v>
      </c>
      <c r="B25" s="613" t="s">
        <v>1128</v>
      </c>
      <c r="C25" s="571" t="s">
        <v>37</v>
      </c>
      <c r="D25" s="571" t="s">
        <v>38</v>
      </c>
      <c r="E25" s="622">
        <v>1</v>
      </c>
      <c r="F25" s="622">
        <v>1</v>
      </c>
      <c r="G25" s="605">
        <f t="shared" si="2"/>
        <v>100</v>
      </c>
      <c r="H25" s="572">
        <v>832</v>
      </c>
      <c r="I25" s="615">
        <v>207.9</v>
      </c>
      <c r="J25" s="569">
        <f t="shared" si="3"/>
        <v>24.98798076923077</v>
      </c>
    </row>
    <row r="26" spans="1:11" ht="25.5" customHeight="1" x14ac:dyDescent="0.2">
      <c r="A26" s="2450" t="s">
        <v>1890</v>
      </c>
      <c r="B26" s="2450"/>
      <c r="C26" s="633"/>
      <c r="D26" s="633"/>
      <c r="E26" s="635"/>
      <c r="F26" s="635"/>
      <c r="G26" s="634"/>
      <c r="H26" s="636">
        <f>+H27</f>
        <v>1191988</v>
      </c>
      <c r="I26" s="637">
        <f>+I27</f>
        <v>1172326.1100000001</v>
      </c>
      <c r="J26" s="638">
        <f t="shared" si="3"/>
        <v>98.350495978147435</v>
      </c>
    </row>
    <row r="27" spans="1:11" ht="15.75" customHeight="1" x14ac:dyDescent="0.2">
      <c r="A27" s="639">
        <v>1</v>
      </c>
      <c r="B27" s="640" t="s">
        <v>1889</v>
      </c>
      <c r="C27" s="641" t="s">
        <v>186</v>
      </c>
      <c r="D27" s="641" t="s">
        <v>1887</v>
      </c>
      <c r="E27" s="642">
        <v>1</v>
      </c>
      <c r="F27" s="642">
        <v>1</v>
      </c>
      <c r="G27" s="643">
        <f t="shared" ref="G27" si="4">+F27/E27*100</f>
        <v>100</v>
      </c>
      <c r="H27" s="642">
        <v>1191988</v>
      </c>
      <c r="I27" s="644">
        <v>1172326.1100000001</v>
      </c>
      <c r="J27" s="643">
        <f t="shared" ref="J27" si="5">+I27/H27*100</f>
        <v>98.350495978147435</v>
      </c>
    </row>
    <row r="28" spans="1:11" ht="15.75" customHeight="1" x14ac:dyDescent="0.2">
      <c r="A28" s="2451" t="s">
        <v>901</v>
      </c>
      <c r="B28" s="2451"/>
      <c r="C28" s="2210"/>
      <c r="D28" s="2210"/>
      <c r="E28" s="2211"/>
      <c r="F28" s="2211"/>
      <c r="G28" s="2211"/>
      <c r="H28" s="636">
        <f>SUM(H29:H30)</f>
        <v>280791</v>
      </c>
      <c r="I28" s="638">
        <f>SUM(I29:I30)</f>
        <v>141532.51999999999</v>
      </c>
      <c r="J28" s="638">
        <f>+I28/H28*100</f>
        <v>50.40493463109572</v>
      </c>
    </row>
    <row r="29" spans="1:11" ht="18" customHeight="1" x14ac:dyDescent="0.2">
      <c r="A29" s="2192">
        <v>1</v>
      </c>
      <c r="B29" s="640" t="s">
        <v>1891</v>
      </c>
      <c r="C29" s="2188" t="s">
        <v>68</v>
      </c>
      <c r="D29" s="2189" t="s">
        <v>904</v>
      </c>
      <c r="E29" s="2207">
        <v>1</v>
      </c>
      <c r="F29" s="2207">
        <v>1</v>
      </c>
      <c r="G29" s="2207">
        <v>100</v>
      </c>
      <c r="H29" s="2212">
        <v>125000</v>
      </c>
      <c r="I29" s="2182">
        <v>700</v>
      </c>
      <c r="J29" s="2182">
        <f>+I29/H29*100</f>
        <v>0.55999999999999994</v>
      </c>
    </row>
    <row r="30" spans="1:11" ht="27" customHeight="1" x14ac:dyDescent="0.2">
      <c r="A30" s="2192">
        <v>2</v>
      </c>
      <c r="B30" s="640" t="s">
        <v>1896</v>
      </c>
      <c r="C30" s="2188" t="s">
        <v>525</v>
      </c>
      <c r="D30" s="2189" t="s">
        <v>1892</v>
      </c>
      <c r="E30" s="2207">
        <v>558</v>
      </c>
      <c r="F30" s="2207">
        <v>558</v>
      </c>
      <c r="G30" s="2207">
        <v>100</v>
      </c>
      <c r="H30" s="2212">
        <v>155791</v>
      </c>
      <c r="I30" s="2182">
        <v>140832.51999999999</v>
      </c>
      <c r="J30" s="2182">
        <f>+I30/H30*100</f>
        <v>90.398367043025587</v>
      </c>
    </row>
    <row r="31" spans="1:11" ht="17.25" customHeight="1" x14ac:dyDescent="0.2">
      <c r="A31" s="2451" t="s">
        <v>1894</v>
      </c>
      <c r="B31" s="2451"/>
      <c r="C31" s="2213"/>
      <c r="D31" s="2214"/>
      <c r="E31" s="2214"/>
      <c r="F31" s="2215"/>
      <c r="G31" s="2215"/>
      <c r="H31" s="636">
        <f>SUM(H32:H34)+H35+H46</f>
        <v>7162249</v>
      </c>
      <c r="I31" s="638">
        <f>SUM(I32:I34)+I35+I46</f>
        <v>1870412.69</v>
      </c>
      <c r="J31" s="638">
        <f>+I31/H31*100</f>
        <v>26.114879418461996</v>
      </c>
    </row>
    <row r="32" spans="1:11" ht="27" customHeight="1" x14ac:dyDescent="0.25">
      <c r="A32" s="2216">
        <v>2</v>
      </c>
      <c r="B32" s="2185" t="s">
        <v>1895</v>
      </c>
      <c r="C32" s="2188" t="s">
        <v>37</v>
      </c>
      <c r="D32" s="2180"/>
      <c r="E32" s="2202"/>
      <c r="F32" s="2217"/>
      <c r="G32" s="2218"/>
      <c r="H32" s="2183">
        <v>1474773</v>
      </c>
      <c r="I32" s="2184">
        <v>0</v>
      </c>
      <c r="J32" s="643">
        <f t="shared" ref="J32:J34" si="6">I32/H32*100</f>
        <v>0</v>
      </c>
      <c r="K32"/>
    </row>
    <row r="33" spans="1:11" ht="26.25" customHeight="1" x14ac:dyDescent="0.25">
      <c r="A33" s="2216">
        <v>3</v>
      </c>
      <c r="B33" s="2185" t="s">
        <v>1897</v>
      </c>
      <c r="C33" s="2188" t="s">
        <v>68</v>
      </c>
      <c r="D33" s="2180"/>
      <c r="E33" s="2202"/>
      <c r="F33" s="2217"/>
      <c r="G33" s="2218"/>
      <c r="H33" s="2183">
        <v>5353</v>
      </c>
      <c r="I33" s="2184">
        <v>5353</v>
      </c>
      <c r="J33" s="643">
        <f t="shared" si="6"/>
        <v>100</v>
      </c>
      <c r="K33"/>
    </row>
    <row r="34" spans="1:11" ht="38.25" x14ac:dyDescent="0.25">
      <c r="A34" s="2216">
        <v>4</v>
      </c>
      <c r="B34" s="2185" t="s">
        <v>1893</v>
      </c>
      <c r="C34" s="2188" t="s">
        <v>37</v>
      </c>
      <c r="D34" s="2180"/>
      <c r="E34" s="2202"/>
      <c r="F34" s="2217"/>
      <c r="G34" s="2218"/>
      <c r="H34" s="2183">
        <v>877600</v>
      </c>
      <c r="I34" s="2184">
        <v>318</v>
      </c>
      <c r="J34" s="643">
        <f t="shared" si="6"/>
        <v>3.6235186873290796E-2</v>
      </c>
      <c r="K34"/>
    </row>
    <row r="35" spans="1:11" ht="28.5" customHeight="1" x14ac:dyDescent="0.2">
      <c r="A35" s="2195">
        <v>5</v>
      </c>
      <c r="B35" s="2195" t="s">
        <v>1898</v>
      </c>
      <c r="C35" s="2219" t="s">
        <v>349</v>
      </c>
      <c r="D35" s="2220" t="s">
        <v>1899</v>
      </c>
      <c r="E35" s="2196"/>
      <c r="F35" s="2221"/>
      <c r="G35" s="2201"/>
      <c r="H35" s="2199">
        <f>SUM(H36:H45)</f>
        <v>4239300</v>
      </c>
      <c r="I35" s="2200">
        <f>SUM(I36:I45)</f>
        <v>1600508.69</v>
      </c>
      <c r="J35" s="2201">
        <f>+I35/H35*100</f>
        <v>37.754079447078524</v>
      </c>
    </row>
    <row r="36" spans="1:11" ht="17.45" customHeight="1" x14ac:dyDescent="0.2">
      <c r="A36" s="2178">
        <v>5.0999999999999996</v>
      </c>
      <c r="B36" s="2179" t="s">
        <v>1902</v>
      </c>
      <c r="C36" s="2452" t="s">
        <v>349</v>
      </c>
      <c r="D36" s="2180" t="s">
        <v>414</v>
      </c>
      <c r="E36" s="2181">
        <v>1</v>
      </c>
      <c r="F36" s="2182">
        <v>7.6999999999999999E-2</v>
      </c>
      <c r="G36" s="643">
        <f>+F36/E36*100</f>
        <v>7.7</v>
      </c>
      <c r="H36" s="2183">
        <v>13396.49</v>
      </c>
      <c r="I36" s="2184">
        <v>6315</v>
      </c>
      <c r="J36" s="643">
        <f>I36/H36*100</f>
        <v>47.139213331253188</v>
      </c>
    </row>
    <row r="37" spans="1:11" ht="17.45" customHeight="1" x14ac:dyDescent="0.2">
      <c r="A37" s="2178">
        <v>5.2</v>
      </c>
      <c r="B37" s="2185" t="s">
        <v>1903</v>
      </c>
      <c r="C37" s="2299"/>
      <c r="D37" s="2180" t="s">
        <v>99</v>
      </c>
      <c r="E37" s="2181">
        <v>1</v>
      </c>
      <c r="F37" s="2182">
        <f>+E37*48%</f>
        <v>0.48</v>
      </c>
      <c r="G37" s="643">
        <f t="shared" ref="G37:G52" si="7">+F37/E37*100</f>
        <v>48</v>
      </c>
      <c r="H37" s="2183">
        <v>144711.12</v>
      </c>
      <c r="I37" s="2184">
        <v>0</v>
      </c>
      <c r="J37" s="643">
        <v>0</v>
      </c>
    </row>
    <row r="38" spans="1:11" ht="17.45" customHeight="1" x14ac:dyDescent="0.2">
      <c r="A38" s="2178">
        <v>5.3</v>
      </c>
      <c r="B38" s="2185" t="s">
        <v>1904</v>
      </c>
      <c r="C38" s="2299"/>
      <c r="D38" s="2186" t="s">
        <v>1910</v>
      </c>
      <c r="E38" s="2187">
        <v>45132.74</v>
      </c>
      <c r="F38" s="2182">
        <v>21663.71</v>
      </c>
      <c r="G38" s="643">
        <f t="shared" si="7"/>
        <v>47.999988478430517</v>
      </c>
      <c r="H38" s="2183">
        <v>561000</v>
      </c>
      <c r="I38" s="2184">
        <v>222213.99</v>
      </c>
      <c r="J38" s="643">
        <f t="shared" ref="J38:J45" si="8">I38/H38*100</f>
        <v>39.610336898395722</v>
      </c>
    </row>
    <row r="39" spans="1:11" ht="17.45" customHeight="1" x14ac:dyDescent="0.2">
      <c r="A39" s="2178">
        <v>5.4</v>
      </c>
      <c r="B39" s="2179" t="s">
        <v>1905</v>
      </c>
      <c r="C39" s="2299"/>
      <c r="D39" s="2188" t="s">
        <v>1713</v>
      </c>
      <c r="E39" s="2181">
        <v>5.34</v>
      </c>
      <c r="F39" s="2182">
        <f>+E39*15%</f>
        <v>0.80099999999999993</v>
      </c>
      <c r="G39" s="643">
        <f t="shared" si="7"/>
        <v>15</v>
      </c>
      <c r="H39" s="2183">
        <v>1325872.6000000001</v>
      </c>
      <c r="I39" s="2184">
        <v>1275957.7</v>
      </c>
      <c r="J39" s="643">
        <f t="shared" si="8"/>
        <v>96.235317028197116</v>
      </c>
    </row>
    <row r="40" spans="1:11" ht="17.45" customHeight="1" x14ac:dyDescent="0.2">
      <c r="A40" s="2178">
        <v>5.5</v>
      </c>
      <c r="B40" s="2179" t="s">
        <v>1906</v>
      </c>
      <c r="C40" s="2299"/>
      <c r="D40" s="2189" t="s">
        <v>1713</v>
      </c>
      <c r="E40" s="2181">
        <v>64</v>
      </c>
      <c r="F40" s="2182">
        <f>+E40*13%</f>
        <v>8.32</v>
      </c>
      <c r="G40" s="643">
        <f t="shared" si="7"/>
        <v>13</v>
      </c>
      <c r="H40" s="2183">
        <v>588264.56999999995</v>
      </c>
      <c r="I40" s="2184">
        <v>23251</v>
      </c>
      <c r="J40" s="643">
        <f t="shared" si="8"/>
        <v>3.9524732893568624</v>
      </c>
    </row>
    <row r="41" spans="1:11" ht="17.45" customHeight="1" x14ac:dyDescent="0.2">
      <c r="A41" s="2178">
        <v>5.6</v>
      </c>
      <c r="B41" s="2185" t="s">
        <v>2754</v>
      </c>
      <c r="C41" s="2299"/>
      <c r="D41" s="2189" t="s">
        <v>99</v>
      </c>
      <c r="E41" s="2181">
        <v>14</v>
      </c>
      <c r="F41" s="2182">
        <f>+E41*0.08%</f>
        <v>1.12E-2</v>
      </c>
      <c r="G41" s="643">
        <f t="shared" si="7"/>
        <v>0.08</v>
      </c>
      <c r="H41" s="2183">
        <v>551021.15</v>
      </c>
      <c r="I41" s="2184"/>
      <c r="J41" s="643">
        <f t="shared" si="8"/>
        <v>0</v>
      </c>
    </row>
    <row r="42" spans="1:11" ht="17.45" customHeight="1" x14ac:dyDescent="0.2">
      <c r="A42" s="2178">
        <v>5.7</v>
      </c>
      <c r="B42" s="2179" t="s">
        <v>1907</v>
      </c>
      <c r="C42" s="2299"/>
      <c r="D42" s="2189" t="s">
        <v>99</v>
      </c>
      <c r="E42" s="2181">
        <v>600</v>
      </c>
      <c r="F42" s="2182" t="s">
        <v>1901</v>
      </c>
      <c r="G42" s="643">
        <f t="shared" si="7"/>
        <v>0</v>
      </c>
      <c r="H42" s="2183">
        <v>200401.68</v>
      </c>
      <c r="I42" s="2184">
        <f>H42*G42</f>
        <v>0</v>
      </c>
      <c r="J42" s="643">
        <f t="shared" si="8"/>
        <v>0</v>
      </c>
    </row>
    <row r="43" spans="1:11" ht="17.45" customHeight="1" x14ac:dyDescent="0.2">
      <c r="A43" s="2178">
        <v>5.8</v>
      </c>
      <c r="B43" s="2179" t="s">
        <v>1908</v>
      </c>
      <c r="C43" s="2299"/>
      <c r="D43" s="2188" t="s">
        <v>414</v>
      </c>
      <c r="E43" s="2181">
        <v>1</v>
      </c>
      <c r="F43" s="2182">
        <v>0.2</v>
      </c>
      <c r="G43" s="643">
        <f t="shared" si="7"/>
        <v>20</v>
      </c>
      <c r="H43" s="2183">
        <v>343016.68</v>
      </c>
      <c r="I43" s="2184">
        <v>5619</v>
      </c>
      <c r="J43" s="643">
        <f t="shared" si="8"/>
        <v>1.6381127588314364</v>
      </c>
    </row>
    <row r="44" spans="1:11" ht="17.45" customHeight="1" x14ac:dyDescent="0.2">
      <c r="A44" s="2178">
        <v>5.9</v>
      </c>
      <c r="B44" s="2179" t="s">
        <v>567</v>
      </c>
      <c r="C44" s="2299"/>
      <c r="D44" s="2188" t="s">
        <v>414</v>
      </c>
      <c r="E44" s="2190">
        <v>1</v>
      </c>
      <c r="F44" s="2182">
        <v>0.2</v>
      </c>
      <c r="G44" s="643">
        <f t="shared" si="7"/>
        <v>20</v>
      </c>
      <c r="H44" s="2183">
        <v>369440.71</v>
      </c>
      <c r="I44" s="2182">
        <v>51792</v>
      </c>
      <c r="J44" s="643">
        <f t="shared" si="8"/>
        <v>14.019028926184122</v>
      </c>
    </row>
    <row r="45" spans="1:11" ht="17.45" customHeight="1" x14ac:dyDescent="0.2">
      <c r="A45" s="2191">
        <v>6</v>
      </c>
      <c r="B45" s="2179" t="s">
        <v>1909</v>
      </c>
      <c r="C45" s="2453"/>
      <c r="D45" s="2188" t="s">
        <v>414</v>
      </c>
      <c r="E45" s="642">
        <v>1</v>
      </c>
      <c r="F45" s="2182">
        <v>0.2</v>
      </c>
      <c r="G45" s="643">
        <f t="shared" si="7"/>
        <v>20</v>
      </c>
      <c r="H45" s="2183">
        <v>142175</v>
      </c>
      <c r="I45" s="2182">
        <v>15360</v>
      </c>
      <c r="J45" s="643">
        <f t="shared" si="8"/>
        <v>10.803587128538773</v>
      </c>
    </row>
    <row r="46" spans="1:11" ht="25.5" x14ac:dyDescent="0.2">
      <c r="A46" s="2192">
        <v>6</v>
      </c>
      <c r="B46" s="2193" t="s">
        <v>1917</v>
      </c>
      <c r="C46" s="2194" t="s">
        <v>70</v>
      </c>
      <c r="D46" s="2195" t="s">
        <v>1899</v>
      </c>
      <c r="E46" s="2196">
        <v>1</v>
      </c>
      <c r="F46" s="2197"/>
      <c r="G46" s="2198">
        <v>0.93</v>
      </c>
      <c r="H46" s="2199">
        <f>SUM(H47:H55)</f>
        <v>565223</v>
      </c>
      <c r="I46" s="2200">
        <f>SUM(I47:I55)</f>
        <v>264233</v>
      </c>
      <c r="J46" s="2201">
        <f>I46/H46*100</f>
        <v>46.748451496135154</v>
      </c>
    </row>
    <row r="47" spans="1:11" ht="16.5" customHeight="1" x14ac:dyDescent="0.2">
      <c r="A47" s="2202">
        <v>6.1</v>
      </c>
      <c r="B47" s="2203" t="s">
        <v>1912</v>
      </c>
      <c r="C47" s="2204"/>
      <c r="D47" s="2180" t="s">
        <v>1911</v>
      </c>
      <c r="E47" s="2205">
        <f t="shared" ref="E47" si="9">+I47/H47</f>
        <v>1</v>
      </c>
      <c r="F47" s="2205">
        <v>1</v>
      </c>
      <c r="G47" s="643">
        <f t="shared" si="7"/>
        <v>100</v>
      </c>
      <c r="H47" s="2183">
        <v>37305.379999999997</v>
      </c>
      <c r="I47" s="2184">
        <f>+H47</f>
        <v>37305.379999999997</v>
      </c>
      <c r="J47" s="643">
        <f t="shared" ref="J47:J52" si="10">I47/H47*100</f>
        <v>100</v>
      </c>
    </row>
    <row r="48" spans="1:11" ht="17.25" customHeight="1" x14ac:dyDescent="0.2">
      <c r="A48" s="2202">
        <v>6.2</v>
      </c>
      <c r="B48" s="2204" t="s">
        <v>1908</v>
      </c>
      <c r="C48" s="2204"/>
      <c r="D48" s="2180" t="s">
        <v>99</v>
      </c>
      <c r="E48" s="2205">
        <v>1</v>
      </c>
      <c r="F48" s="2205">
        <v>1</v>
      </c>
      <c r="G48" s="643">
        <f t="shared" si="7"/>
        <v>100</v>
      </c>
      <c r="H48" s="2183">
        <v>72485.62</v>
      </c>
      <c r="I48" s="2184">
        <v>34737.550000000003</v>
      </c>
      <c r="J48" s="643">
        <f t="shared" si="10"/>
        <v>47.923367421013992</v>
      </c>
    </row>
    <row r="49" spans="1:10" ht="18.75" customHeight="1" x14ac:dyDescent="0.2">
      <c r="A49" s="2202">
        <v>6.3</v>
      </c>
      <c r="B49" s="2204" t="s">
        <v>1913</v>
      </c>
      <c r="C49" s="2204"/>
      <c r="D49" s="2186" t="s">
        <v>1910</v>
      </c>
      <c r="E49" s="2182">
        <f>H49/11.16</f>
        <v>11938.082437275985</v>
      </c>
      <c r="F49" s="2182">
        <v>10875.59</v>
      </c>
      <c r="G49" s="643">
        <f t="shared" si="7"/>
        <v>91.099974029678236</v>
      </c>
      <c r="H49" s="2206">
        <v>133229</v>
      </c>
      <c r="I49" s="2184">
        <f>88078.97+33228.58</f>
        <v>121307.55</v>
      </c>
      <c r="J49" s="643">
        <f t="shared" si="10"/>
        <v>91.051910620060198</v>
      </c>
    </row>
    <row r="50" spans="1:10" ht="15.75" customHeight="1" x14ac:dyDescent="0.2">
      <c r="A50" s="2202">
        <v>6.4</v>
      </c>
      <c r="B50" s="2179" t="s">
        <v>1914</v>
      </c>
      <c r="C50" s="2179"/>
      <c r="D50" s="2180" t="s">
        <v>1915</v>
      </c>
      <c r="E50" s="2207">
        <v>5.4260000000000002</v>
      </c>
      <c r="F50" s="2207">
        <v>5.4260000000000002</v>
      </c>
      <c r="G50" s="643">
        <f t="shared" si="7"/>
        <v>100</v>
      </c>
      <c r="H50" s="2183">
        <v>66614</v>
      </c>
      <c r="I50" s="2184">
        <v>43350</v>
      </c>
      <c r="J50" s="643">
        <f t="shared" si="10"/>
        <v>65.076410364187709</v>
      </c>
    </row>
    <row r="51" spans="1:10" ht="17.25" customHeight="1" x14ac:dyDescent="0.2">
      <c r="A51" s="2202">
        <v>6.5</v>
      </c>
      <c r="B51" s="2208" t="s">
        <v>567</v>
      </c>
      <c r="C51" s="2209"/>
      <c r="D51" s="2180" t="s">
        <v>1900</v>
      </c>
      <c r="E51" s="2205">
        <v>1</v>
      </c>
      <c r="F51" s="2205">
        <v>0</v>
      </c>
      <c r="G51" s="643">
        <f t="shared" si="7"/>
        <v>0</v>
      </c>
      <c r="H51" s="2183">
        <v>40250</v>
      </c>
      <c r="I51" s="2182">
        <v>12182.52</v>
      </c>
      <c r="J51" s="643">
        <f t="shared" si="10"/>
        <v>30.267130434782608</v>
      </c>
    </row>
    <row r="52" spans="1:10" ht="16.5" customHeight="1" x14ac:dyDescent="0.2">
      <c r="A52" s="2202">
        <v>6.6</v>
      </c>
      <c r="B52" s="2208" t="s">
        <v>1909</v>
      </c>
      <c r="C52" s="2185"/>
      <c r="D52" s="2180" t="s">
        <v>1900</v>
      </c>
      <c r="E52" s="2205">
        <v>1</v>
      </c>
      <c r="F52" s="2205">
        <v>0</v>
      </c>
      <c r="G52" s="643">
        <f t="shared" si="7"/>
        <v>0</v>
      </c>
      <c r="H52" s="2183">
        <v>20200</v>
      </c>
      <c r="I52" s="2182">
        <v>15350</v>
      </c>
      <c r="J52" s="643">
        <f t="shared" si="10"/>
        <v>75.990099009900987</v>
      </c>
    </row>
    <row r="53" spans="1:10" ht="15.75" customHeight="1" x14ac:dyDescent="0.2">
      <c r="A53" s="2455">
        <v>6.7</v>
      </c>
      <c r="B53" s="2454" t="s">
        <v>1916</v>
      </c>
      <c r="C53" s="645"/>
      <c r="D53" s="647" t="s">
        <v>1900</v>
      </c>
      <c r="E53" s="1563">
        <v>0</v>
      </c>
      <c r="F53" s="1563">
        <v>0</v>
      </c>
      <c r="G53" s="646"/>
      <c r="H53" s="1564">
        <v>88589</v>
      </c>
      <c r="I53" s="1565">
        <v>0</v>
      </c>
      <c r="J53" s="1565">
        <v>0</v>
      </c>
    </row>
    <row r="54" spans="1:10" ht="12" customHeight="1" x14ac:dyDescent="0.2">
      <c r="A54" s="2456"/>
      <c r="B54" s="2454"/>
      <c r="C54" s="645"/>
      <c r="D54" s="647" t="s">
        <v>1900</v>
      </c>
      <c r="E54" s="1563">
        <v>0</v>
      </c>
      <c r="F54" s="1563">
        <v>0</v>
      </c>
      <c r="G54" s="646"/>
      <c r="H54" s="1564">
        <v>91172</v>
      </c>
      <c r="I54" s="1565">
        <v>0</v>
      </c>
      <c r="J54" s="1565">
        <v>0</v>
      </c>
    </row>
    <row r="55" spans="1:10" ht="13.5" customHeight="1" x14ac:dyDescent="0.2">
      <c r="A55" s="2457"/>
      <c r="B55" s="2454"/>
      <c r="C55" s="645"/>
      <c r="D55" s="647" t="s">
        <v>1900</v>
      </c>
      <c r="E55" s="1563">
        <v>0</v>
      </c>
      <c r="F55" s="1563">
        <v>0</v>
      </c>
      <c r="G55" s="646"/>
      <c r="H55" s="1564">
        <v>15378</v>
      </c>
      <c r="I55" s="1565">
        <v>0</v>
      </c>
      <c r="J55" s="1565">
        <v>0</v>
      </c>
    </row>
    <row r="56" spans="1:10" x14ac:dyDescent="0.2">
      <c r="E56" s="26"/>
      <c r="F56" s="26"/>
      <c r="G56" s="26"/>
      <c r="H56" s="26"/>
      <c r="I56" s="26"/>
      <c r="J56" s="426"/>
    </row>
    <row r="57" spans="1:10" x14ac:dyDescent="0.2">
      <c r="E57" s="26"/>
      <c r="F57" s="26"/>
      <c r="G57" s="26"/>
      <c r="H57" s="26"/>
      <c r="I57" s="26"/>
      <c r="J57" s="26"/>
    </row>
  </sheetData>
  <mergeCells count="17">
    <mergeCell ref="H6:J6"/>
    <mergeCell ref="C8:G8"/>
    <mergeCell ref="A3:J3"/>
    <mergeCell ref="A9:B9"/>
    <mergeCell ref="A2:B2"/>
    <mergeCell ref="A6:A7"/>
    <mergeCell ref="B6:B7"/>
    <mergeCell ref="C6:C7"/>
    <mergeCell ref="D6:G6"/>
    <mergeCell ref="A5:J5"/>
    <mergeCell ref="A4:J4"/>
    <mergeCell ref="A26:B26"/>
    <mergeCell ref="A28:B28"/>
    <mergeCell ref="A31:B31"/>
    <mergeCell ref="C36:C45"/>
    <mergeCell ref="B53:B55"/>
    <mergeCell ref="A53:A55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J87"/>
  <sheetViews>
    <sheetView showZeros="0" view="pageBreakPreview" topLeftCell="A70" zoomScaleNormal="100" zoomScaleSheetLayoutView="100" workbookViewId="0">
      <selection activeCell="H51" sqref="H51:H52"/>
    </sheetView>
  </sheetViews>
  <sheetFormatPr baseColWidth="10" defaultRowHeight="12.75" x14ac:dyDescent="0.2"/>
  <cols>
    <col min="1" max="1" width="4.140625" style="36" customWidth="1"/>
    <col min="2" max="2" width="61.42578125" style="2" customWidth="1"/>
    <col min="3" max="3" width="16.28515625" style="5" customWidth="1"/>
    <col min="4" max="4" width="14.85546875" style="6" customWidth="1"/>
    <col min="5" max="5" width="12.42578125" style="40" customWidth="1"/>
    <col min="6" max="6" width="12.5703125" style="2" customWidth="1"/>
    <col min="7" max="7" width="11.5703125" style="2" customWidth="1"/>
    <col min="8" max="8" width="13.85546875" style="2" customWidth="1"/>
    <col min="9" max="9" width="13.5703125" style="2" customWidth="1"/>
    <col min="10" max="10" width="9.5703125" style="2" customWidth="1"/>
    <col min="11" max="16384" width="11.42578125" style="2"/>
  </cols>
  <sheetData>
    <row r="2" spans="1:10" ht="18" customHeight="1" x14ac:dyDescent="0.2">
      <c r="A2" s="2426" t="s">
        <v>24</v>
      </c>
      <c r="B2" s="2427"/>
      <c r="C2" s="915"/>
      <c r="D2" s="1624"/>
      <c r="E2" s="917"/>
      <c r="F2" s="918"/>
      <c r="G2" s="919"/>
      <c r="H2" s="919"/>
      <c r="I2" s="919"/>
      <c r="J2" s="1016"/>
    </row>
    <row r="3" spans="1:10" ht="12.75" customHeight="1" x14ac:dyDescent="0.2">
      <c r="A3" s="2429" t="s">
        <v>1145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ht="25.5" customHeight="1" x14ac:dyDescent="0.2">
      <c r="A4" s="2366" t="s">
        <v>23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0" ht="18" customHeight="1" x14ac:dyDescent="0.2">
      <c r="A5" s="2431" t="s">
        <v>360</v>
      </c>
      <c r="B5" s="2432"/>
      <c r="C5" s="2432"/>
      <c r="D5" s="2432"/>
      <c r="E5" s="2432"/>
      <c r="F5" s="2432"/>
      <c r="G5" s="75"/>
      <c r="H5" s="75"/>
      <c r="I5" s="75"/>
      <c r="J5" s="648"/>
    </row>
    <row r="6" spans="1:10" ht="18" customHeight="1" x14ac:dyDescent="0.2">
      <c r="A6" s="2428" t="s">
        <v>0</v>
      </c>
      <c r="B6" s="2428" t="s">
        <v>1</v>
      </c>
      <c r="C6" s="2428" t="s">
        <v>2</v>
      </c>
      <c r="D6" s="2430" t="s">
        <v>1781</v>
      </c>
      <c r="E6" s="2430"/>
      <c r="F6" s="2430"/>
      <c r="G6" s="2430"/>
      <c r="H6" s="2430" t="s">
        <v>774</v>
      </c>
      <c r="I6" s="2430"/>
      <c r="J6" s="2430"/>
    </row>
    <row r="7" spans="1:10" ht="24.75" customHeight="1" x14ac:dyDescent="0.2">
      <c r="A7" s="2428"/>
      <c r="B7" s="2428"/>
      <c r="C7" s="2428"/>
      <c r="D7" s="1625" t="s">
        <v>3</v>
      </c>
      <c r="E7" s="1625" t="s">
        <v>4</v>
      </c>
      <c r="F7" s="1625" t="s">
        <v>747</v>
      </c>
      <c r="G7" s="1625" t="s">
        <v>746</v>
      </c>
      <c r="H7" s="922" t="s">
        <v>748</v>
      </c>
      <c r="I7" s="1625" t="s">
        <v>747</v>
      </c>
      <c r="J7" s="1625" t="s">
        <v>746</v>
      </c>
    </row>
    <row r="8" spans="1:10" ht="19.5" customHeight="1" x14ac:dyDescent="0.2">
      <c r="A8" s="923"/>
      <c r="B8" s="1145"/>
      <c r="C8" s="2459" t="s">
        <v>1918</v>
      </c>
      <c r="D8" s="2460"/>
      <c r="E8" s="2460"/>
      <c r="F8" s="2460"/>
      <c r="G8" s="2460"/>
      <c r="H8" s="1017">
        <f>+H9+H35</f>
        <v>5376713</v>
      </c>
      <c r="I8" s="1018">
        <f>+I9+I35</f>
        <v>1285945.4100000001</v>
      </c>
      <c r="J8" s="1019">
        <f>+I8/H8*100</f>
        <v>23.916943493171388</v>
      </c>
    </row>
    <row r="9" spans="1:10" ht="18" customHeight="1" x14ac:dyDescent="0.2">
      <c r="A9" s="1626" t="s">
        <v>1949</v>
      </c>
      <c r="B9" s="961"/>
      <c r="C9" s="1640"/>
      <c r="D9" s="1640"/>
      <c r="E9" s="1640"/>
      <c r="F9" s="1640"/>
      <c r="G9" s="1640"/>
      <c r="H9" s="1020">
        <f>+H10+H14+H20+H26+H30</f>
        <v>1112959</v>
      </c>
      <c r="I9" s="934">
        <f>+I10+I14+I20+I26+I30</f>
        <v>189423.82</v>
      </c>
      <c r="J9" s="1021">
        <f t="shared" ref="J9" si="0">+I9/H9*100</f>
        <v>17.019838107243842</v>
      </c>
    </row>
    <row r="10" spans="1:10" ht="20.25" customHeight="1" x14ac:dyDescent="0.2">
      <c r="A10" s="1022"/>
      <c r="B10" s="1023" t="s">
        <v>1919</v>
      </c>
      <c r="C10" s="1023"/>
      <c r="D10" s="1023"/>
      <c r="E10" s="1023"/>
      <c r="F10" s="1023"/>
      <c r="G10" s="1023"/>
      <c r="H10" s="1024">
        <f>SUM(H11:H13)</f>
        <v>137590</v>
      </c>
      <c r="I10" s="1025">
        <f>SUM(I11:I13)</f>
        <v>21170.77</v>
      </c>
      <c r="J10" s="1026">
        <f>+I10/H10*100</f>
        <v>15.386852242168764</v>
      </c>
    </row>
    <row r="11" spans="1:10" ht="26.25" customHeight="1" x14ac:dyDescent="0.2">
      <c r="A11" s="1027">
        <v>1</v>
      </c>
      <c r="B11" s="1028" t="s">
        <v>1920</v>
      </c>
      <c r="C11" s="962" t="s">
        <v>73</v>
      </c>
      <c r="D11" s="938" t="s">
        <v>177</v>
      </c>
      <c r="E11" s="952">
        <v>6</v>
      </c>
      <c r="F11" s="967">
        <v>0</v>
      </c>
      <c r="G11" s="1029">
        <v>0</v>
      </c>
      <c r="H11" s="1639"/>
      <c r="I11" s="960"/>
      <c r="J11" s="1030">
        <v>0</v>
      </c>
    </row>
    <row r="12" spans="1:10" ht="51" x14ac:dyDescent="0.2">
      <c r="A12" s="1027">
        <v>1</v>
      </c>
      <c r="B12" s="1031" t="s">
        <v>1959</v>
      </c>
      <c r="C12" s="962" t="s">
        <v>1921</v>
      </c>
      <c r="D12" s="938" t="s">
        <v>1922</v>
      </c>
      <c r="E12" s="952">
        <v>40</v>
      </c>
      <c r="F12" s="967">
        <v>25</v>
      </c>
      <c r="G12" s="1032">
        <f>+F12/E12*100</f>
        <v>62.5</v>
      </c>
      <c r="H12" s="2464">
        <v>137590</v>
      </c>
      <c r="I12" s="2465">
        <v>21170.77</v>
      </c>
      <c r="J12" s="2466">
        <f>+I12/H12*100</f>
        <v>15.386852242168764</v>
      </c>
    </row>
    <row r="13" spans="1:10" ht="27" customHeight="1" x14ac:dyDescent="0.2">
      <c r="A13" s="1027">
        <v>2</v>
      </c>
      <c r="B13" s="1031" t="s">
        <v>179</v>
      </c>
      <c r="C13" s="962" t="s">
        <v>1921</v>
      </c>
      <c r="D13" s="938" t="s">
        <v>1923</v>
      </c>
      <c r="E13" s="952">
        <v>2</v>
      </c>
      <c r="F13" s="967">
        <v>0</v>
      </c>
      <c r="G13" s="960">
        <v>0</v>
      </c>
      <c r="H13" s="2464"/>
      <c r="I13" s="2465"/>
      <c r="J13" s="2466"/>
    </row>
    <row r="14" spans="1:10" ht="26.25" customHeight="1" x14ac:dyDescent="0.2">
      <c r="A14" s="945"/>
      <c r="B14" s="1033" t="s">
        <v>1954</v>
      </c>
      <c r="C14" s="1034"/>
      <c r="D14" s="1034"/>
      <c r="E14" s="1035"/>
      <c r="F14" s="1035"/>
      <c r="G14" s="1035"/>
      <c r="H14" s="1024">
        <f>SUM(H15)</f>
        <v>268496</v>
      </c>
      <c r="I14" s="1025">
        <f>SUM(I15)</f>
        <v>3170.59</v>
      </c>
      <c r="J14" s="1026">
        <f>+I14/H14*100</f>
        <v>1.1808704785173709</v>
      </c>
    </row>
    <row r="15" spans="1:10" ht="25.5" x14ac:dyDescent="0.2">
      <c r="A15" s="1036">
        <v>1</v>
      </c>
      <c r="B15" s="1037" t="s">
        <v>1924</v>
      </c>
      <c r="C15" s="1038" t="s">
        <v>1921</v>
      </c>
      <c r="D15" s="1038" t="s">
        <v>1925</v>
      </c>
      <c r="E15" s="1039">
        <v>23</v>
      </c>
      <c r="F15" s="1039">
        <v>17</v>
      </c>
      <c r="G15" s="1032">
        <f t="shared" ref="G15:G18" si="1">+F15/E15*100</f>
        <v>73.91304347826086</v>
      </c>
      <c r="H15" s="2461">
        <v>268496</v>
      </c>
      <c r="I15" s="2462">
        <v>3170.59</v>
      </c>
      <c r="J15" s="2463">
        <v>9.4308234610073409</v>
      </c>
    </row>
    <row r="16" spans="1:10" ht="38.25" x14ac:dyDescent="0.2">
      <c r="A16" s="1036">
        <v>2</v>
      </c>
      <c r="B16" s="1037" t="s">
        <v>1926</v>
      </c>
      <c r="C16" s="1038" t="s">
        <v>1921</v>
      </c>
      <c r="D16" s="1038" t="s">
        <v>1927</v>
      </c>
      <c r="E16" s="1039">
        <v>1</v>
      </c>
      <c r="F16" s="1039">
        <v>1</v>
      </c>
      <c r="G16" s="1032">
        <f t="shared" si="1"/>
        <v>100</v>
      </c>
      <c r="H16" s="2461"/>
      <c r="I16" s="2462"/>
      <c r="J16" s="2463"/>
    </row>
    <row r="17" spans="1:10" ht="28.5" customHeight="1" x14ac:dyDescent="0.2">
      <c r="A17" s="1036">
        <v>3</v>
      </c>
      <c r="B17" s="1040" t="s">
        <v>1928</v>
      </c>
      <c r="C17" s="959" t="s">
        <v>1921</v>
      </c>
      <c r="D17" s="959" t="s">
        <v>181</v>
      </c>
      <c r="E17" s="1041">
        <v>6</v>
      </c>
      <c r="F17" s="1041">
        <v>6</v>
      </c>
      <c r="G17" s="1032">
        <f t="shared" si="1"/>
        <v>100</v>
      </c>
      <c r="H17" s="2461"/>
      <c r="I17" s="2462"/>
      <c r="J17" s="2463"/>
    </row>
    <row r="18" spans="1:10" ht="25.5" x14ac:dyDescent="0.2">
      <c r="A18" s="1036">
        <v>4</v>
      </c>
      <c r="B18" s="1040" t="s">
        <v>1929</v>
      </c>
      <c r="C18" s="959" t="s">
        <v>1921</v>
      </c>
      <c r="D18" s="959" t="s">
        <v>181</v>
      </c>
      <c r="E18" s="1041">
        <v>1</v>
      </c>
      <c r="F18" s="1041">
        <v>1</v>
      </c>
      <c r="G18" s="1032">
        <f t="shared" si="1"/>
        <v>100</v>
      </c>
      <c r="H18" s="2461"/>
      <c r="I18" s="2462"/>
      <c r="J18" s="2463"/>
    </row>
    <row r="19" spans="1:10" ht="11.25" customHeight="1" x14ac:dyDescent="0.2">
      <c r="A19" s="650"/>
      <c r="B19" s="1042" t="s">
        <v>1952</v>
      </c>
      <c r="C19" s="958"/>
      <c r="D19" s="958"/>
      <c r="E19" s="967"/>
      <c r="F19" s="967"/>
      <c r="G19" s="967"/>
      <c r="H19" s="1043"/>
      <c r="I19" s="960"/>
      <c r="J19" s="967"/>
    </row>
    <row r="20" spans="1:10" ht="29.25" customHeight="1" x14ac:dyDescent="0.2">
      <c r="A20" s="945"/>
      <c r="B20" s="1033" t="s">
        <v>1955</v>
      </c>
      <c r="C20" s="1034"/>
      <c r="D20" s="1034"/>
      <c r="E20" s="1035"/>
      <c r="F20" s="1035"/>
      <c r="G20" s="1035"/>
      <c r="H20" s="1024">
        <f>+H21</f>
        <v>245434</v>
      </c>
      <c r="I20" s="1025">
        <f>+I21</f>
        <v>76939.22</v>
      </c>
      <c r="J20" s="1026">
        <f>+I20/H20*100</f>
        <v>31.348232111280428</v>
      </c>
    </row>
    <row r="21" spans="1:10" ht="38.25" x14ac:dyDescent="0.2">
      <c r="A21" s="1036">
        <v>1</v>
      </c>
      <c r="B21" s="1031" t="s">
        <v>1930</v>
      </c>
      <c r="C21" s="1044" t="s">
        <v>1921</v>
      </c>
      <c r="D21" s="1044" t="s">
        <v>1931</v>
      </c>
      <c r="E21" s="1045" t="s">
        <v>1932</v>
      </c>
      <c r="F21" s="1045">
        <v>4</v>
      </c>
      <c r="G21" s="1032">
        <v>100</v>
      </c>
      <c r="H21" s="2467">
        <v>245434</v>
      </c>
      <c r="I21" s="2468">
        <v>76939.22</v>
      </c>
      <c r="J21" s="2466">
        <f>+I21/H21*100</f>
        <v>31.348232111280428</v>
      </c>
    </row>
    <row r="22" spans="1:10" ht="26.25" customHeight="1" x14ac:dyDescent="0.2">
      <c r="A22" s="1036">
        <v>2</v>
      </c>
      <c r="B22" s="1031" t="s">
        <v>1933</v>
      </c>
      <c r="C22" s="1044" t="s">
        <v>1921</v>
      </c>
      <c r="D22" s="1044" t="s">
        <v>1934</v>
      </c>
      <c r="E22" s="1045">
        <v>14</v>
      </c>
      <c r="F22" s="1045">
        <v>7</v>
      </c>
      <c r="G22" s="1032">
        <f t="shared" ref="G22" si="2">+F22/E22*100</f>
        <v>50</v>
      </c>
      <c r="H22" s="2467"/>
      <c r="I22" s="2468"/>
      <c r="J22" s="2466"/>
    </row>
    <row r="23" spans="1:10" ht="32.25" customHeight="1" x14ac:dyDescent="0.2">
      <c r="A23" s="1036">
        <v>3</v>
      </c>
      <c r="B23" s="1031" t="s">
        <v>1935</v>
      </c>
      <c r="C23" s="1044" t="s">
        <v>1921</v>
      </c>
      <c r="D23" s="1044" t="s">
        <v>1936</v>
      </c>
      <c r="E23" s="1045" t="s">
        <v>1937</v>
      </c>
      <c r="F23" s="1045">
        <v>37</v>
      </c>
      <c r="G23" s="1032">
        <v>100</v>
      </c>
      <c r="H23" s="2467"/>
      <c r="I23" s="2468"/>
      <c r="J23" s="2466"/>
    </row>
    <row r="24" spans="1:10" ht="12.75" customHeight="1" x14ac:dyDescent="0.2">
      <c r="A24" s="945"/>
      <c r="B24" s="1042" t="s">
        <v>1950</v>
      </c>
      <c r="C24" s="1044"/>
      <c r="D24" s="1044"/>
      <c r="E24" s="1045"/>
      <c r="F24" s="1045"/>
      <c r="G24" s="1046"/>
      <c r="H24" s="1047"/>
      <c r="I24" s="1032"/>
      <c r="J24" s="1048"/>
    </row>
    <row r="25" spans="1:10" ht="26.25" customHeight="1" x14ac:dyDescent="0.2">
      <c r="A25" s="945"/>
      <c r="B25" s="1042" t="s">
        <v>1951</v>
      </c>
      <c r="C25" s="1044"/>
      <c r="D25" s="1044"/>
      <c r="E25" s="1045"/>
      <c r="F25" s="1045"/>
      <c r="G25" s="1046"/>
      <c r="H25" s="1047"/>
      <c r="I25" s="1032"/>
      <c r="J25" s="1048"/>
    </row>
    <row r="26" spans="1:10" ht="25.5" customHeight="1" x14ac:dyDescent="0.2">
      <c r="A26" s="945"/>
      <c r="B26" s="1033" t="s">
        <v>1956</v>
      </c>
      <c r="C26" s="1034"/>
      <c r="D26" s="1034"/>
      <c r="E26" s="1035"/>
      <c r="F26" s="1035"/>
      <c r="G26" s="1035"/>
      <c r="H26" s="1024">
        <f>+H27</f>
        <v>159530</v>
      </c>
      <c r="I26" s="1025">
        <f>+I27</f>
        <v>39372.879999999997</v>
      </c>
      <c r="J26" s="1026">
        <f>+I26/H26*100</f>
        <v>24.680549113019492</v>
      </c>
    </row>
    <row r="27" spans="1:10" ht="51" x14ac:dyDescent="0.2">
      <c r="A27" s="1036">
        <v>1</v>
      </c>
      <c r="B27" s="1031" t="s">
        <v>1938</v>
      </c>
      <c r="C27" s="1044" t="s">
        <v>1921</v>
      </c>
      <c r="D27" s="1044" t="s">
        <v>1939</v>
      </c>
      <c r="E27" s="1045">
        <v>33</v>
      </c>
      <c r="F27" s="1045">
        <v>19</v>
      </c>
      <c r="G27" s="1032">
        <f t="shared" ref="G27:G28" si="3">+F27/E27*100</f>
        <v>57.575757575757578</v>
      </c>
      <c r="H27" s="2467">
        <v>159530</v>
      </c>
      <c r="I27" s="2468">
        <v>39372.879999999997</v>
      </c>
      <c r="J27" s="2466">
        <f>+I27/H27*100</f>
        <v>24.680549113019492</v>
      </c>
    </row>
    <row r="28" spans="1:10" ht="51" x14ac:dyDescent="0.2">
      <c r="A28" s="1036">
        <v>2</v>
      </c>
      <c r="B28" s="1031" t="s">
        <v>1940</v>
      </c>
      <c r="C28" s="1044" t="s">
        <v>1921</v>
      </c>
      <c r="D28" s="1044" t="s">
        <v>1939</v>
      </c>
      <c r="E28" s="1045">
        <v>33</v>
      </c>
      <c r="F28" s="1045">
        <v>33</v>
      </c>
      <c r="G28" s="1032">
        <f t="shared" si="3"/>
        <v>100</v>
      </c>
      <c r="H28" s="2467"/>
      <c r="I28" s="2468"/>
      <c r="J28" s="2466"/>
    </row>
    <row r="29" spans="1:10" ht="8.25" customHeight="1" x14ac:dyDescent="0.2">
      <c r="A29" s="965"/>
      <c r="B29" s="1042" t="s">
        <v>1953</v>
      </c>
      <c r="C29" s="958"/>
      <c r="D29" s="958"/>
      <c r="E29" s="967"/>
      <c r="F29" s="967"/>
      <c r="G29" s="967"/>
      <c r="H29" s="1043"/>
      <c r="I29" s="960"/>
      <c r="J29" s="1043"/>
    </row>
    <row r="30" spans="1:10" ht="25.5" x14ac:dyDescent="0.2">
      <c r="A30" s="945"/>
      <c r="B30" s="1033" t="s">
        <v>1957</v>
      </c>
      <c r="C30" s="1049"/>
      <c r="D30" s="1034"/>
      <c r="E30" s="1050"/>
      <c r="F30" s="1050"/>
      <c r="G30" s="1050"/>
      <c r="H30" s="1024">
        <f>+H31</f>
        <v>301909</v>
      </c>
      <c r="I30" s="1025">
        <f>+I31</f>
        <v>48770.36</v>
      </c>
      <c r="J30" s="1026">
        <f>+I30/H30*100</f>
        <v>16.153993421858907</v>
      </c>
    </row>
    <row r="31" spans="1:10" ht="25.5" x14ac:dyDescent="0.2">
      <c r="A31" s="1051">
        <v>1</v>
      </c>
      <c r="B31" s="1040" t="s">
        <v>1941</v>
      </c>
      <c r="C31" s="962" t="s">
        <v>1921</v>
      </c>
      <c r="D31" s="959" t="s">
        <v>113</v>
      </c>
      <c r="E31" s="1041" t="s">
        <v>1942</v>
      </c>
      <c r="F31" s="1041">
        <v>30</v>
      </c>
      <c r="G31" s="1032">
        <v>50</v>
      </c>
      <c r="H31" s="2461">
        <v>301909</v>
      </c>
      <c r="I31" s="2462">
        <v>48770.36</v>
      </c>
      <c r="J31" s="2463">
        <f>+I31/H31*100</f>
        <v>16.153993421858907</v>
      </c>
    </row>
    <row r="32" spans="1:10" ht="63.75" x14ac:dyDescent="0.2">
      <c r="A32" s="1051">
        <v>2</v>
      </c>
      <c r="B32" s="1040" t="s">
        <v>1943</v>
      </c>
      <c r="C32" s="962" t="s">
        <v>1921</v>
      </c>
      <c r="D32" s="959" t="s">
        <v>1944</v>
      </c>
      <c r="E32" s="1041" t="s">
        <v>1945</v>
      </c>
      <c r="F32" s="1041">
        <v>11</v>
      </c>
      <c r="G32" s="1032">
        <v>64.7</v>
      </c>
      <c r="H32" s="2461"/>
      <c r="I32" s="2462"/>
      <c r="J32" s="2463"/>
    </row>
    <row r="33" spans="1:10" ht="27" customHeight="1" x14ac:dyDescent="0.2">
      <c r="A33" s="1051">
        <v>3</v>
      </c>
      <c r="B33" s="1040" t="s">
        <v>1946</v>
      </c>
      <c r="C33" s="962" t="s">
        <v>1921</v>
      </c>
      <c r="D33" s="959" t="s">
        <v>1947</v>
      </c>
      <c r="E33" s="1041" t="s">
        <v>1948</v>
      </c>
      <c r="F33" s="1041">
        <v>326</v>
      </c>
      <c r="G33" s="1032">
        <v>46.91</v>
      </c>
      <c r="H33" s="2461"/>
      <c r="I33" s="2462"/>
      <c r="J33" s="2463"/>
    </row>
    <row r="34" spans="1:10" ht="12" customHeight="1" x14ac:dyDescent="0.2">
      <c r="A34" s="965"/>
      <c r="B34" s="1042" t="s">
        <v>1958</v>
      </c>
      <c r="C34" s="965"/>
      <c r="D34" s="965"/>
      <c r="E34" s="967"/>
      <c r="F34" s="967"/>
      <c r="G34" s="967"/>
      <c r="H34" s="1043"/>
      <c r="I34" s="960"/>
      <c r="J34" s="1043"/>
    </row>
    <row r="35" spans="1:10" ht="15.75" customHeight="1" x14ac:dyDescent="0.2">
      <c r="A35" s="2472" t="s">
        <v>1960</v>
      </c>
      <c r="B35" s="2473"/>
      <c r="C35" s="1052"/>
      <c r="D35" s="1052"/>
      <c r="E35" s="1053"/>
      <c r="F35" s="1053"/>
      <c r="G35" s="1053"/>
      <c r="H35" s="1054">
        <f>H36+H64+H72+H73</f>
        <v>4263754</v>
      </c>
      <c r="I35" s="1055">
        <f>I36+I64+I72+I73</f>
        <v>1096521.5900000001</v>
      </c>
      <c r="J35" s="1056">
        <f t="shared" ref="J35:J49" si="4">I35*100/H35</f>
        <v>25.717280828115321</v>
      </c>
    </row>
    <row r="36" spans="1:10" ht="25.5" x14ac:dyDescent="0.2">
      <c r="A36" s="1057">
        <v>1</v>
      </c>
      <c r="B36" s="1058" t="s">
        <v>710</v>
      </c>
      <c r="C36" s="1059"/>
      <c r="D36" s="1059"/>
      <c r="E36" s="1060"/>
      <c r="F36" s="1060"/>
      <c r="G36" s="1060"/>
      <c r="H36" s="1061">
        <f>H37+H40+H44+H58</f>
        <v>463062</v>
      </c>
      <c r="I36" s="1062">
        <f>I37+I40+I44+I58</f>
        <v>226830.59000000003</v>
      </c>
      <c r="J36" s="1063">
        <f t="shared" si="4"/>
        <v>48.984928584077302</v>
      </c>
    </row>
    <row r="37" spans="1:10" ht="17.25" customHeight="1" x14ac:dyDescent="0.2">
      <c r="A37" s="1064">
        <v>2</v>
      </c>
      <c r="B37" s="1065" t="s">
        <v>1975</v>
      </c>
      <c r="C37" s="1066"/>
      <c r="D37" s="1066"/>
      <c r="E37" s="1067"/>
      <c r="F37" s="1067"/>
      <c r="G37" s="1067"/>
      <c r="H37" s="1068">
        <f>H39+H38</f>
        <v>324062</v>
      </c>
      <c r="I37" s="1069">
        <f>SUM(I38:I39)</f>
        <v>152148.34000000003</v>
      </c>
      <c r="J37" s="1070">
        <f t="shared" si="4"/>
        <v>46.950379865581283</v>
      </c>
    </row>
    <row r="38" spans="1:10" ht="17.25" customHeight="1" x14ac:dyDescent="0.2">
      <c r="A38" s="1635">
        <v>2.1</v>
      </c>
      <c r="B38" s="1071" t="s">
        <v>711</v>
      </c>
      <c r="C38" s="1072" t="s">
        <v>37</v>
      </c>
      <c r="D38" s="1073" t="s">
        <v>1369</v>
      </c>
      <c r="E38" s="1074">
        <v>12</v>
      </c>
      <c r="F38" s="1074">
        <v>6</v>
      </c>
      <c r="G38" s="1075">
        <f>F38*100/E38</f>
        <v>50</v>
      </c>
      <c r="H38" s="1076">
        <v>311832</v>
      </c>
      <c r="I38" s="1077">
        <f>173290-27030.36</f>
        <v>146259.64000000001</v>
      </c>
      <c r="J38" s="1638">
        <f t="shared" si="4"/>
        <v>46.90334539110804</v>
      </c>
    </row>
    <row r="39" spans="1:10" ht="17.25" customHeight="1" x14ac:dyDescent="0.2">
      <c r="A39" s="1635">
        <v>2.2000000000000002</v>
      </c>
      <c r="B39" s="1071" t="s">
        <v>738</v>
      </c>
      <c r="C39" s="1078" t="s">
        <v>37</v>
      </c>
      <c r="D39" s="1079" t="s">
        <v>1369</v>
      </c>
      <c r="E39" s="1080">
        <v>12</v>
      </c>
      <c r="F39" s="1080">
        <v>6</v>
      </c>
      <c r="G39" s="1081">
        <f>F39*100/E39</f>
        <v>50</v>
      </c>
      <c r="H39" s="1076">
        <v>12230</v>
      </c>
      <c r="I39" s="1077">
        <f>6824.25-935.55</f>
        <v>5888.7</v>
      </c>
      <c r="J39" s="1638">
        <f t="shared" si="4"/>
        <v>48.149632052330332</v>
      </c>
    </row>
    <row r="40" spans="1:10" ht="27.75" customHeight="1" x14ac:dyDescent="0.2">
      <c r="A40" s="1082">
        <v>3</v>
      </c>
      <c r="B40" s="1083" t="s">
        <v>1976</v>
      </c>
      <c r="C40" s="1084"/>
      <c r="D40" s="1085"/>
      <c r="E40" s="1086"/>
      <c r="F40" s="1086"/>
      <c r="G40" s="1086"/>
      <c r="H40" s="1068">
        <f>SUM(H41:H43)</f>
        <v>36000</v>
      </c>
      <c r="I40" s="1069">
        <f>SUM(I41:I43)</f>
        <v>14854.25</v>
      </c>
      <c r="J40" s="1070">
        <f t="shared" si="4"/>
        <v>41.261805555555554</v>
      </c>
    </row>
    <row r="41" spans="1:10" ht="25.5" x14ac:dyDescent="0.2">
      <c r="A41" s="1635">
        <v>3.1</v>
      </c>
      <c r="B41" s="1087" t="s">
        <v>1977</v>
      </c>
      <c r="C41" s="1073" t="s">
        <v>32</v>
      </c>
      <c r="D41" s="1073" t="s">
        <v>414</v>
      </c>
      <c r="E41" s="1074">
        <v>1</v>
      </c>
      <c r="F41" s="1088">
        <v>0.7</v>
      </c>
      <c r="G41" s="1075">
        <f>F41*100/E41</f>
        <v>70</v>
      </c>
      <c r="H41" s="1089">
        <v>1980</v>
      </c>
      <c r="I41" s="1090">
        <v>1980.25</v>
      </c>
      <c r="J41" s="1638">
        <f t="shared" si="4"/>
        <v>100.01262626262626</v>
      </c>
    </row>
    <row r="42" spans="1:10" ht="20.25" customHeight="1" x14ac:dyDescent="0.2">
      <c r="A42" s="1635">
        <v>3.2</v>
      </c>
      <c r="B42" s="1087" t="s">
        <v>712</v>
      </c>
      <c r="C42" s="1634" t="s">
        <v>32</v>
      </c>
      <c r="D42" s="1091" t="s">
        <v>414</v>
      </c>
      <c r="E42" s="1092">
        <v>1</v>
      </c>
      <c r="F42" s="1637">
        <v>0</v>
      </c>
      <c r="G42" s="1093">
        <f>F42*100/E42</f>
        <v>0</v>
      </c>
      <c r="H42" s="1089">
        <v>4900</v>
      </c>
      <c r="I42" s="1089"/>
      <c r="J42" s="1638">
        <f t="shared" si="4"/>
        <v>0</v>
      </c>
    </row>
    <row r="43" spans="1:10" ht="25.5" x14ac:dyDescent="0.2">
      <c r="A43" s="1635">
        <v>3.3</v>
      </c>
      <c r="B43" s="1087" t="s">
        <v>353</v>
      </c>
      <c r="C43" s="1094" t="s">
        <v>32</v>
      </c>
      <c r="D43" s="1094" t="s">
        <v>414</v>
      </c>
      <c r="E43" s="1080">
        <v>1</v>
      </c>
      <c r="F43" s="1095">
        <v>0</v>
      </c>
      <c r="G43" s="1081">
        <f>F43*100/E43</f>
        <v>0</v>
      </c>
      <c r="H43" s="1089">
        <v>29120</v>
      </c>
      <c r="I43" s="1090">
        <v>12874</v>
      </c>
      <c r="J43" s="1638">
        <f t="shared" si="4"/>
        <v>44.210164835164832</v>
      </c>
    </row>
    <row r="44" spans="1:10" ht="25.5" x14ac:dyDescent="0.2">
      <c r="A44" s="1096">
        <v>4</v>
      </c>
      <c r="B44" s="1083" t="s">
        <v>1978</v>
      </c>
      <c r="C44" s="1084"/>
      <c r="D44" s="1084"/>
      <c r="E44" s="1097"/>
      <c r="F44" s="1097"/>
      <c r="G44" s="1097"/>
      <c r="H44" s="1068">
        <f>SUM(H45:H57)</f>
        <v>64000</v>
      </c>
      <c r="I44" s="1069">
        <f>SUM(I45:I57)</f>
        <v>42084</v>
      </c>
      <c r="J44" s="1070">
        <f t="shared" si="4"/>
        <v>65.756249999999994</v>
      </c>
    </row>
    <row r="45" spans="1:10" ht="17.25" customHeight="1" x14ac:dyDescent="0.2">
      <c r="A45" s="1635">
        <v>4.0999999999999996</v>
      </c>
      <c r="B45" s="1098" t="s">
        <v>1961</v>
      </c>
      <c r="C45" s="1099" t="s">
        <v>32</v>
      </c>
      <c r="D45" s="1072" t="s">
        <v>736</v>
      </c>
      <c r="E45" s="1636">
        <v>1</v>
      </c>
      <c r="F45" s="1074">
        <v>0</v>
      </c>
      <c r="G45" s="1075">
        <v>0</v>
      </c>
      <c r="H45" s="1089">
        <v>3165</v>
      </c>
      <c r="I45" s="1090">
        <v>0</v>
      </c>
      <c r="J45" s="1638">
        <f t="shared" si="4"/>
        <v>0</v>
      </c>
    </row>
    <row r="46" spans="1:10" ht="16.5" customHeight="1" x14ac:dyDescent="0.2">
      <c r="A46" s="1635">
        <v>4.2</v>
      </c>
      <c r="B46" s="1098" t="s">
        <v>722</v>
      </c>
      <c r="C46" s="1100" t="s">
        <v>32</v>
      </c>
      <c r="D46" s="1101" t="s">
        <v>351</v>
      </c>
      <c r="E46" s="1092">
        <v>1</v>
      </c>
      <c r="F46" s="1092">
        <v>1</v>
      </c>
      <c r="G46" s="1093">
        <f t="shared" ref="G46:G57" si="5">F46*100/E46</f>
        <v>100</v>
      </c>
      <c r="H46" s="1092">
        <v>29250</v>
      </c>
      <c r="I46" s="1637">
        <v>26950</v>
      </c>
      <c r="J46" s="1638">
        <f t="shared" si="4"/>
        <v>92.136752136752136</v>
      </c>
    </row>
    <row r="47" spans="1:10" ht="17.25" customHeight="1" x14ac:dyDescent="0.2">
      <c r="A47" s="1635">
        <v>4.3</v>
      </c>
      <c r="B47" s="1098" t="s">
        <v>1962</v>
      </c>
      <c r="C47" s="1101" t="s">
        <v>32</v>
      </c>
      <c r="D47" s="1101" t="s">
        <v>41</v>
      </c>
      <c r="E47" s="1076">
        <v>1</v>
      </c>
      <c r="F47" s="1092">
        <v>1</v>
      </c>
      <c r="G47" s="1093">
        <f t="shared" si="5"/>
        <v>100</v>
      </c>
      <c r="H47" s="1092">
        <v>15500</v>
      </c>
      <c r="I47" s="1637">
        <v>15134</v>
      </c>
      <c r="J47" s="1638">
        <f t="shared" si="4"/>
        <v>97.638709677419357</v>
      </c>
    </row>
    <row r="48" spans="1:10" ht="25.5" x14ac:dyDescent="0.2">
      <c r="A48" s="1635">
        <v>4.4000000000000004</v>
      </c>
      <c r="B48" s="1098" t="s">
        <v>1963</v>
      </c>
      <c r="C48" s="1101" t="s">
        <v>32</v>
      </c>
      <c r="D48" s="1101" t="s">
        <v>181</v>
      </c>
      <c r="E48" s="1076">
        <v>1</v>
      </c>
      <c r="F48" s="1092"/>
      <c r="G48" s="1093">
        <f t="shared" si="5"/>
        <v>0</v>
      </c>
      <c r="H48" s="1076">
        <v>1654</v>
      </c>
      <c r="I48" s="1637"/>
      <c r="J48" s="1638">
        <f t="shared" si="4"/>
        <v>0</v>
      </c>
    </row>
    <row r="49" spans="1:10" ht="25.5" x14ac:dyDescent="0.2">
      <c r="A49" s="2474">
        <v>4.5</v>
      </c>
      <c r="B49" s="1098" t="s">
        <v>713</v>
      </c>
      <c r="C49" s="1101" t="s">
        <v>32</v>
      </c>
      <c r="D49" s="1101" t="s">
        <v>59</v>
      </c>
      <c r="E49" s="1076">
        <v>1</v>
      </c>
      <c r="F49" s="1092"/>
      <c r="G49" s="1093">
        <f t="shared" si="5"/>
        <v>0</v>
      </c>
      <c r="H49" s="2475">
        <v>1910</v>
      </c>
      <c r="I49" s="2469"/>
      <c r="J49" s="2470">
        <f t="shared" si="4"/>
        <v>0</v>
      </c>
    </row>
    <row r="50" spans="1:10" ht="25.5" x14ac:dyDescent="0.2">
      <c r="A50" s="2474"/>
      <c r="B50" s="1098" t="s">
        <v>729</v>
      </c>
      <c r="C50" s="1100" t="s">
        <v>32</v>
      </c>
      <c r="D50" s="1100" t="s">
        <v>165</v>
      </c>
      <c r="E50" s="1076">
        <v>1</v>
      </c>
      <c r="F50" s="1092"/>
      <c r="G50" s="1093">
        <f t="shared" si="5"/>
        <v>0</v>
      </c>
      <c r="H50" s="2476"/>
      <c r="I50" s="2469"/>
      <c r="J50" s="2470"/>
    </row>
    <row r="51" spans="1:10" ht="38.25" x14ac:dyDescent="0.2">
      <c r="A51" s="2474">
        <v>4.5999999999999996</v>
      </c>
      <c r="B51" s="1102" t="s">
        <v>1964</v>
      </c>
      <c r="C51" s="1100" t="s">
        <v>32</v>
      </c>
      <c r="D51" s="1100" t="s">
        <v>740</v>
      </c>
      <c r="E51" s="1076">
        <v>1</v>
      </c>
      <c r="F51" s="1092">
        <v>0</v>
      </c>
      <c r="G51" s="1093">
        <f t="shared" si="5"/>
        <v>0</v>
      </c>
      <c r="H51" s="2481">
        <v>1159</v>
      </c>
      <c r="I51" s="2469"/>
      <c r="J51" s="2470">
        <f>I51*100/H51</f>
        <v>0</v>
      </c>
    </row>
    <row r="52" spans="1:10" ht="25.5" x14ac:dyDescent="0.2">
      <c r="A52" s="2474"/>
      <c r="B52" s="1098" t="s">
        <v>1965</v>
      </c>
      <c r="C52" s="1100" t="s">
        <v>32</v>
      </c>
      <c r="D52" s="1100" t="s">
        <v>1966</v>
      </c>
      <c r="E52" s="1092">
        <v>2</v>
      </c>
      <c r="F52" s="1092">
        <v>1</v>
      </c>
      <c r="G52" s="1093">
        <f t="shared" si="5"/>
        <v>50</v>
      </c>
      <c r="H52" s="2482"/>
      <c r="I52" s="2469"/>
      <c r="J52" s="2470"/>
    </row>
    <row r="53" spans="1:10" ht="25.5" x14ac:dyDescent="0.2">
      <c r="A53" s="1635">
        <v>4.7</v>
      </c>
      <c r="B53" s="1102" t="s">
        <v>714</v>
      </c>
      <c r="C53" s="1100" t="s">
        <v>32</v>
      </c>
      <c r="D53" s="1100" t="s">
        <v>740</v>
      </c>
      <c r="E53" s="1076">
        <v>1</v>
      </c>
      <c r="F53" s="1092">
        <v>1</v>
      </c>
      <c r="G53" s="1093">
        <f t="shared" si="5"/>
        <v>100</v>
      </c>
      <c r="H53" s="1076">
        <v>441</v>
      </c>
      <c r="I53" s="1637"/>
      <c r="J53" s="1638">
        <f t="shared" ref="J53:J75" si="6">I53*100/H53</f>
        <v>0</v>
      </c>
    </row>
    <row r="54" spans="1:10" ht="19.5" customHeight="1" x14ac:dyDescent="0.2">
      <c r="A54" s="1635">
        <v>4.8</v>
      </c>
      <c r="B54" s="1102" t="s">
        <v>723</v>
      </c>
      <c r="C54" s="1100" t="s">
        <v>32</v>
      </c>
      <c r="D54" s="1100" t="s">
        <v>698</v>
      </c>
      <c r="E54" s="1076">
        <v>1</v>
      </c>
      <c r="F54" s="1092">
        <v>0</v>
      </c>
      <c r="G54" s="1093">
        <f t="shared" si="5"/>
        <v>0</v>
      </c>
      <c r="H54" s="1092">
        <v>1132</v>
      </c>
      <c r="I54" s="1637">
        <v>0</v>
      </c>
      <c r="J54" s="1638">
        <f t="shared" si="6"/>
        <v>0</v>
      </c>
    </row>
    <row r="55" spans="1:10" ht="20.25" customHeight="1" x14ac:dyDescent="0.2">
      <c r="A55" s="1635">
        <v>4.9000000000000004</v>
      </c>
      <c r="B55" s="1633" t="s">
        <v>715</v>
      </c>
      <c r="C55" s="1634" t="s">
        <v>32</v>
      </c>
      <c r="D55" s="1634" t="s">
        <v>740</v>
      </c>
      <c r="E55" s="1092">
        <v>1</v>
      </c>
      <c r="F55" s="1092">
        <v>0</v>
      </c>
      <c r="G55" s="1093">
        <f t="shared" si="5"/>
        <v>0</v>
      </c>
      <c r="H55" s="1092">
        <v>1756</v>
      </c>
      <c r="I55" s="1637">
        <v>0</v>
      </c>
      <c r="J55" s="1638">
        <f t="shared" si="6"/>
        <v>0</v>
      </c>
    </row>
    <row r="56" spans="1:10" ht="25.5" x14ac:dyDescent="0.2">
      <c r="A56" s="1103">
        <v>4.0999999999999996</v>
      </c>
      <c r="B56" s="1633" t="s">
        <v>716</v>
      </c>
      <c r="C56" s="1634" t="s">
        <v>32</v>
      </c>
      <c r="D56" s="1634" t="s">
        <v>67</v>
      </c>
      <c r="E56" s="1092">
        <v>1</v>
      </c>
      <c r="F56" s="1092">
        <v>1</v>
      </c>
      <c r="G56" s="1093">
        <f t="shared" si="5"/>
        <v>100</v>
      </c>
      <c r="H56" s="1092">
        <v>2693</v>
      </c>
      <c r="I56" s="1637"/>
      <c r="J56" s="1638">
        <f t="shared" si="6"/>
        <v>0</v>
      </c>
    </row>
    <row r="57" spans="1:10" ht="18.75" customHeight="1" x14ac:dyDescent="0.2">
      <c r="A57" s="1103">
        <v>4.1100000000000003</v>
      </c>
      <c r="B57" s="1633" t="s">
        <v>724</v>
      </c>
      <c r="C57" s="1094" t="s">
        <v>32</v>
      </c>
      <c r="D57" s="1094" t="s">
        <v>351</v>
      </c>
      <c r="E57" s="1080">
        <v>1</v>
      </c>
      <c r="F57" s="1080">
        <v>0</v>
      </c>
      <c r="G57" s="1093">
        <f t="shared" si="5"/>
        <v>0</v>
      </c>
      <c r="H57" s="1092">
        <f>4412+928</f>
        <v>5340</v>
      </c>
      <c r="I57" s="1637">
        <v>0</v>
      </c>
      <c r="J57" s="1638">
        <f t="shared" si="6"/>
        <v>0</v>
      </c>
    </row>
    <row r="58" spans="1:10" ht="25.5" x14ac:dyDescent="0.2">
      <c r="A58" s="1104">
        <v>5</v>
      </c>
      <c r="B58" s="1105" t="s">
        <v>1979</v>
      </c>
      <c r="C58" s="1085"/>
      <c r="D58" s="1085"/>
      <c r="E58" s="1086"/>
      <c r="F58" s="1086"/>
      <c r="G58" s="1106"/>
      <c r="H58" s="1107">
        <f>SUM(H59:H63)</f>
        <v>39000</v>
      </c>
      <c r="I58" s="1108">
        <f>SUM(I59:I63)</f>
        <v>17744</v>
      </c>
      <c r="J58" s="1070">
        <f t="shared" si="6"/>
        <v>45.497435897435899</v>
      </c>
    </row>
    <row r="59" spans="1:10" ht="25.5" x14ac:dyDescent="0.2">
      <c r="A59" s="1635">
        <v>5.0999999999999996</v>
      </c>
      <c r="B59" s="1633" t="s">
        <v>725</v>
      </c>
      <c r="C59" s="1109"/>
      <c r="D59" s="1110" t="s">
        <v>739</v>
      </c>
      <c r="E59" s="1074">
        <v>1</v>
      </c>
      <c r="F59" s="1074">
        <v>0</v>
      </c>
      <c r="G59" s="1093">
        <f>F59*100/E59</f>
        <v>0</v>
      </c>
      <c r="H59" s="1089">
        <v>7000</v>
      </c>
      <c r="I59" s="1637">
        <v>0</v>
      </c>
      <c r="J59" s="1638">
        <f t="shared" si="6"/>
        <v>0</v>
      </c>
    </row>
    <row r="60" spans="1:10" ht="28.5" customHeight="1" x14ac:dyDescent="0.2">
      <c r="A60" s="1635">
        <v>5.2</v>
      </c>
      <c r="B60" s="1633" t="s">
        <v>726</v>
      </c>
      <c r="C60" s="1091" t="s">
        <v>32</v>
      </c>
      <c r="D60" s="1111" t="s">
        <v>181</v>
      </c>
      <c r="E60" s="1092">
        <v>1</v>
      </c>
      <c r="F60" s="1092">
        <v>1</v>
      </c>
      <c r="G60" s="1093">
        <f>F60*100/E60</f>
        <v>100</v>
      </c>
      <c r="H60" s="1089">
        <v>4200</v>
      </c>
      <c r="I60" s="1090">
        <v>4200</v>
      </c>
      <c r="J60" s="1638">
        <f t="shared" si="6"/>
        <v>100</v>
      </c>
    </row>
    <row r="61" spans="1:10" ht="64.5" customHeight="1" x14ac:dyDescent="0.2">
      <c r="A61" s="2471">
        <v>5.3</v>
      </c>
      <c r="B61" s="1633" t="s">
        <v>727</v>
      </c>
      <c r="C61" s="1634" t="s">
        <v>1967</v>
      </c>
      <c r="D61" s="1112" t="s">
        <v>59</v>
      </c>
      <c r="E61" s="1089">
        <v>1</v>
      </c>
      <c r="F61" s="1089">
        <v>0</v>
      </c>
      <c r="G61" s="1093">
        <f>F61*100/E61</f>
        <v>0</v>
      </c>
      <c r="H61" s="1089">
        <f>21500-3200</f>
        <v>18300</v>
      </c>
      <c r="I61" s="1637">
        <v>13544</v>
      </c>
      <c r="J61" s="1638">
        <f t="shared" si="6"/>
        <v>74.010928961748633</v>
      </c>
    </row>
    <row r="62" spans="1:10" ht="25.5" x14ac:dyDescent="0.2">
      <c r="A62" s="2471"/>
      <c r="B62" s="1087" t="s">
        <v>717</v>
      </c>
      <c r="C62" s="1634" t="s">
        <v>32</v>
      </c>
      <c r="D62" s="1112" t="s">
        <v>135</v>
      </c>
      <c r="E62" s="1113">
        <v>2</v>
      </c>
      <c r="F62" s="1113">
        <v>0</v>
      </c>
      <c r="G62" s="1093">
        <f>F62*100/E62</f>
        <v>0</v>
      </c>
      <c r="H62" s="1089">
        <v>500</v>
      </c>
      <c r="I62" s="1637"/>
      <c r="J62" s="1638">
        <f t="shared" si="6"/>
        <v>0</v>
      </c>
    </row>
    <row r="63" spans="1:10" ht="25.5" x14ac:dyDescent="0.2">
      <c r="A63" s="1635">
        <v>5.4</v>
      </c>
      <c r="B63" s="1633" t="s">
        <v>718</v>
      </c>
      <c r="C63" s="1094" t="s">
        <v>32</v>
      </c>
      <c r="D63" s="1114" t="s">
        <v>59</v>
      </c>
      <c r="E63" s="1115">
        <v>1</v>
      </c>
      <c r="F63" s="1115">
        <v>0</v>
      </c>
      <c r="G63" s="1093">
        <f>F63*100/E63</f>
        <v>0</v>
      </c>
      <c r="H63" s="1089">
        <v>9000</v>
      </c>
      <c r="I63" s="1637">
        <v>0</v>
      </c>
      <c r="J63" s="1638">
        <f t="shared" si="6"/>
        <v>0</v>
      </c>
    </row>
    <row r="64" spans="1:10" ht="20.25" customHeight="1" x14ac:dyDescent="0.2">
      <c r="A64" s="1116">
        <v>6</v>
      </c>
      <c r="B64" s="1117" t="s">
        <v>167</v>
      </c>
      <c r="C64" s="1118"/>
      <c r="D64" s="1118"/>
      <c r="E64" s="1119"/>
      <c r="F64" s="1119"/>
      <c r="G64" s="1120"/>
      <c r="H64" s="1121">
        <f>SUM(H65:H71)</f>
        <v>2730708</v>
      </c>
      <c r="I64" s="1122">
        <f>SUM(I65:I71)</f>
        <v>347398</v>
      </c>
      <c r="J64" s="1063">
        <f t="shared" si="6"/>
        <v>12.721902158707559</v>
      </c>
    </row>
    <row r="65" spans="1:10" ht="39.75" customHeight="1" x14ac:dyDescent="0.2">
      <c r="A65" s="1123">
        <v>6.1</v>
      </c>
      <c r="B65" s="1124" t="s">
        <v>1968</v>
      </c>
      <c r="C65" s="1125" t="s">
        <v>32</v>
      </c>
      <c r="D65" s="1126" t="s">
        <v>414</v>
      </c>
      <c r="E65" s="1127">
        <v>16</v>
      </c>
      <c r="F65" s="1127">
        <v>8</v>
      </c>
      <c r="G65" s="1093">
        <f t="shared" ref="G65:G71" si="7">F65*100/E65</f>
        <v>50</v>
      </c>
      <c r="H65" s="1089">
        <v>865398</v>
      </c>
      <c r="I65" s="1090">
        <v>134300</v>
      </c>
      <c r="J65" s="1638">
        <f t="shared" si="6"/>
        <v>15.518871085904982</v>
      </c>
    </row>
    <row r="66" spans="1:10" ht="28.5" customHeight="1" x14ac:dyDescent="0.2">
      <c r="A66" s="1635">
        <v>6.2</v>
      </c>
      <c r="B66" s="1633" t="s">
        <v>719</v>
      </c>
      <c r="C66" s="1112" t="s">
        <v>350</v>
      </c>
      <c r="D66" s="1128" t="s">
        <v>1107</v>
      </c>
      <c r="E66" s="1129">
        <v>1235</v>
      </c>
      <c r="F66" s="1130">
        <v>276</v>
      </c>
      <c r="G66" s="1093">
        <f t="shared" si="7"/>
        <v>22.348178137651821</v>
      </c>
      <c r="H66" s="1092">
        <v>939627</v>
      </c>
      <c r="I66" s="1637">
        <v>209240</v>
      </c>
      <c r="J66" s="1638">
        <f t="shared" si="6"/>
        <v>22.26841076299425</v>
      </c>
    </row>
    <row r="67" spans="1:10" ht="38.25" x14ac:dyDescent="0.2">
      <c r="A67" s="1635">
        <v>6.3</v>
      </c>
      <c r="B67" s="1633" t="s">
        <v>737</v>
      </c>
      <c r="C67" s="1112" t="s">
        <v>68</v>
      </c>
      <c r="D67" s="1112" t="s">
        <v>1107</v>
      </c>
      <c r="E67" s="1131">
        <v>287.28333333333302</v>
      </c>
      <c r="F67" s="1113">
        <v>1E-3</v>
      </c>
      <c r="G67" s="2023">
        <f t="shared" si="7"/>
        <v>3.4808841445727257E-4</v>
      </c>
      <c r="H67" s="1092">
        <v>601383</v>
      </c>
      <c r="I67" s="1637">
        <v>3858</v>
      </c>
      <c r="J67" s="1132">
        <f t="shared" si="6"/>
        <v>0.64152129341866992</v>
      </c>
    </row>
    <row r="68" spans="1:10" ht="39.75" customHeight="1" x14ac:dyDescent="0.2">
      <c r="A68" s="1635">
        <v>6.4</v>
      </c>
      <c r="B68" s="1633" t="s">
        <v>1969</v>
      </c>
      <c r="C68" s="1112" t="s">
        <v>350</v>
      </c>
      <c r="D68" s="1112" t="s">
        <v>181</v>
      </c>
      <c r="E68" s="1133">
        <v>1</v>
      </c>
      <c r="F68" s="1113">
        <v>0</v>
      </c>
      <c r="G68" s="1093">
        <f t="shared" si="7"/>
        <v>0</v>
      </c>
      <c r="H68" s="1092">
        <v>120000</v>
      </c>
      <c r="I68" s="1637">
        <v>0</v>
      </c>
      <c r="J68" s="1638">
        <f t="shared" si="6"/>
        <v>0</v>
      </c>
    </row>
    <row r="69" spans="1:10" ht="18" customHeight="1" x14ac:dyDescent="0.2">
      <c r="A69" s="2477">
        <v>6.4999999999999991</v>
      </c>
      <c r="B69" s="2479" t="s">
        <v>1970</v>
      </c>
      <c r="C69" s="2480" t="s">
        <v>32</v>
      </c>
      <c r="D69" s="1112" t="s">
        <v>181</v>
      </c>
      <c r="E69" s="1133">
        <v>1</v>
      </c>
      <c r="F69" s="1113">
        <v>0</v>
      </c>
      <c r="G69" s="1093">
        <f t="shared" si="7"/>
        <v>0</v>
      </c>
      <c r="H69" s="1092">
        <v>100000</v>
      </c>
      <c r="I69" s="1637">
        <v>0</v>
      </c>
      <c r="J69" s="1638">
        <f t="shared" si="6"/>
        <v>0</v>
      </c>
    </row>
    <row r="70" spans="1:10" ht="15.75" customHeight="1" x14ac:dyDescent="0.2">
      <c r="A70" s="2478"/>
      <c r="B70" s="2479"/>
      <c r="C70" s="2480"/>
      <c r="D70" s="1112" t="s">
        <v>41</v>
      </c>
      <c r="E70" s="1133">
        <v>1</v>
      </c>
      <c r="F70" s="1113">
        <v>0</v>
      </c>
      <c r="G70" s="1093">
        <f t="shared" si="7"/>
        <v>0</v>
      </c>
      <c r="H70" s="1092">
        <v>100000</v>
      </c>
      <c r="I70" s="1637">
        <v>0</v>
      </c>
      <c r="J70" s="1638">
        <f t="shared" si="6"/>
        <v>0</v>
      </c>
    </row>
    <row r="71" spans="1:10" ht="27" customHeight="1" x14ac:dyDescent="0.2">
      <c r="A71" s="1635">
        <v>6.5999999999999988</v>
      </c>
      <c r="B71" s="1633" t="s">
        <v>1971</v>
      </c>
      <c r="C71" s="1634" t="s">
        <v>1972</v>
      </c>
      <c r="D71" s="1112" t="s">
        <v>181</v>
      </c>
      <c r="E71" s="1133">
        <v>1</v>
      </c>
      <c r="F71" s="1113">
        <v>1</v>
      </c>
      <c r="G71" s="1093">
        <f t="shared" si="7"/>
        <v>100</v>
      </c>
      <c r="H71" s="1092">
        <v>4300</v>
      </c>
      <c r="I71" s="1637">
        <v>0</v>
      </c>
      <c r="J71" s="1638">
        <f t="shared" si="6"/>
        <v>0</v>
      </c>
    </row>
    <row r="72" spans="1:10" ht="18.75" customHeight="1" x14ac:dyDescent="0.2">
      <c r="A72" s="1134">
        <v>7</v>
      </c>
      <c r="B72" s="1135" t="s">
        <v>1980</v>
      </c>
      <c r="C72" s="1136"/>
      <c r="D72" s="1136"/>
      <c r="E72" s="1137"/>
      <c r="F72" s="1137"/>
      <c r="G72" s="1137"/>
      <c r="H72" s="1138">
        <v>1024592</v>
      </c>
      <c r="I72" s="1139">
        <v>488402</v>
      </c>
      <c r="J72" s="1140">
        <f t="shared" si="6"/>
        <v>47.667949779033997</v>
      </c>
    </row>
    <row r="73" spans="1:10" ht="18" customHeight="1" x14ac:dyDescent="0.2">
      <c r="A73" s="1134">
        <v>8</v>
      </c>
      <c r="B73" s="1135" t="s">
        <v>1973</v>
      </c>
      <c r="C73" s="1136"/>
      <c r="D73" s="1136"/>
      <c r="E73" s="1137"/>
      <c r="F73" s="1137"/>
      <c r="G73" s="1137"/>
      <c r="H73" s="1121">
        <f>+H74+H75</f>
        <v>45392</v>
      </c>
      <c r="I73" s="1122">
        <f>+I74+I75</f>
        <v>33891</v>
      </c>
      <c r="J73" s="1140">
        <f t="shared" si="6"/>
        <v>74.66293620021149</v>
      </c>
    </row>
    <row r="74" spans="1:10" ht="21.75" customHeight="1" x14ac:dyDescent="0.2">
      <c r="A74" s="1141">
        <v>8.1</v>
      </c>
      <c r="B74" s="1142" t="s">
        <v>1974</v>
      </c>
      <c r="C74" s="1100" t="s">
        <v>32</v>
      </c>
      <c r="D74" s="1143" t="s">
        <v>181</v>
      </c>
      <c r="E74" s="1144">
        <v>2</v>
      </c>
      <c r="F74" s="1144">
        <v>0</v>
      </c>
      <c r="G74" s="1093">
        <f>F74*100/E74</f>
        <v>0</v>
      </c>
      <c r="H74" s="1076">
        <v>15000</v>
      </c>
      <c r="I74" s="1077">
        <v>3500</v>
      </c>
      <c r="J74" s="1638">
        <f t="shared" si="6"/>
        <v>23.333333333333332</v>
      </c>
    </row>
    <row r="75" spans="1:10" ht="21" customHeight="1" x14ac:dyDescent="0.2">
      <c r="A75" s="1141">
        <v>8.1999999999999993</v>
      </c>
      <c r="B75" s="1071" t="s">
        <v>711</v>
      </c>
      <c r="C75" s="1101" t="s">
        <v>37</v>
      </c>
      <c r="D75" s="1091" t="s">
        <v>1369</v>
      </c>
      <c r="E75" s="1092">
        <v>2</v>
      </c>
      <c r="F75" s="1092">
        <v>2</v>
      </c>
      <c r="G75" s="1093">
        <f>F75*100/E75</f>
        <v>100</v>
      </c>
      <c r="H75" s="1076">
        <v>30392</v>
      </c>
      <c r="I75" s="1077">
        <v>30391</v>
      </c>
      <c r="J75" s="1638">
        <f t="shared" si="6"/>
        <v>99.996709660436963</v>
      </c>
    </row>
    <row r="76" spans="1:10" x14ac:dyDescent="0.2">
      <c r="C76" s="40"/>
      <c r="D76" s="40"/>
    </row>
    <row r="87" spans="4:4" x14ac:dyDescent="0.2">
      <c r="D87" s="6">
        <v>0</v>
      </c>
    </row>
  </sheetData>
  <mergeCells count="38">
    <mergeCell ref="A69:A70"/>
    <mergeCell ref="B69:B70"/>
    <mergeCell ref="C69:C70"/>
    <mergeCell ref="A51:A52"/>
    <mergeCell ref="H51:H52"/>
    <mergeCell ref="I51:I52"/>
    <mergeCell ref="J51:J52"/>
    <mergeCell ref="A61:A62"/>
    <mergeCell ref="H31:H33"/>
    <mergeCell ref="I31:I33"/>
    <mergeCell ref="J31:J33"/>
    <mergeCell ref="A35:B35"/>
    <mergeCell ref="A49:A50"/>
    <mergeCell ref="H49:H50"/>
    <mergeCell ref="I49:I50"/>
    <mergeCell ref="J49:J50"/>
    <mergeCell ref="H27:H28"/>
    <mergeCell ref="I27:I28"/>
    <mergeCell ref="J27:J28"/>
    <mergeCell ref="H21:H23"/>
    <mergeCell ref="I21:I23"/>
    <mergeCell ref="J21:J23"/>
    <mergeCell ref="H15:H18"/>
    <mergeCell ref="I15:I18"/>
    <mergeCell ref="J15:J18"/>
    <mergeCell ref="H12:H13"/>
    <mergeCell ref="I12:I13"/>
    <mergeCell ref="J12:J13"/>
    <mergeCell ref="C8:G8"/>
    <mergeCell ref="A2:B2"/>
    <mergeCell ref="A5:F5"/>
    <mergeCell ref="A6:A7"/>
    <mergeCell ref="B6:B7"/>
    <mergeCell ref="C6:C7"/>
    <mergeCell ref="D6:G6"/>
    <mergeCell ref="A3:J3"/>
    <mergeCell ref="A4:J4"/>
    <mergeCell ref="H6:J6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L34"/>
  <sheetViews>
    <sheetView view="pageBreakPreview" zoomScaleNormal="100" zoomScaleSheetLayoutView="100" workbookViewId="0">
      <selection activeCell="A33" sqref="A33"/>
    </sheetView>
  </sheetViews>
  <sheetFormatPr baseColWidth="10" defaultRowHeight="12.75" x14ac:dyDescent="0.2"/>
  <cols>
    <col min="1" max="1" width="4.140625" style="4" customWidth="1"/>
    <col min="2" max="2" width="61.42578125" style="2" customWidth="1"/>
    <col min="3" max="3" width="16.28515625" style="5" customWidth="1"/>
    <col min="4" max="4" width="14.5703125" style="6" customWidth="1"/>
    <col min="5" max="5" width="12.42578125" style="40" customWidth="1"/>
    <col min="6" max="6" width="12.5703125" style="26" customWidth="1"/>
    <col min="7" max="7" width="11.5703125" style="2" customWidth="1"/>
    <col min="8" max="8" width="13.85546875" style="2" customWidth="1"/>
    <col min="9" max="9" width="13.5703125" style="2" customWidth="1"/>
    <col min="10" max="10" width="9.5703125" style="2" customWidth="1"/>
    <col min="11" max="16384" width="11.42578125" style="2"/>
  </cols>
  <sheetData>
    <row r="2" spans="1:12" ht="14.25" customHeight="1" x14ac:dyDescent="0.2">
      <c r="A2" s="2485" t="s">
        <v>25</v>
      </c>
      <c r="B2" s="2486"/>
      <c r="C2" s="1"/>
      <c r="D2" s="1641"/>
      <c r="E2" s="38"/>
      <c r="F2" s="23"/>
      <c r="G2" s="654"/>
      <c r="H2" s="654"/>
      <c r="I2" s="654"/>
      <c r="J2" s="655"/>
    </row>
    <row r="3" spans="1:12" ht="16.5" customHeight="1" x14ac:dyDescent="0.2">
      <c r="A3" s="2429" t="s">
        <v>2787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2" ht="25.5" customHeight="1" x14ac:dyDescent="0.2">
      <c r="A4" s="2366" t="s">
        <v>1981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2" ht="17.25" customHeight="1" x14ac:dyDescent="0.2">
      <c r="A5" s="2368" t="s">
        <v>361</v>
      </c>
      <c r="B5" s="2369"/>
      <c r="C5" s="2369"/>
      <c r="D5" s="2369"/>
      <c r="E5" s="2369"/>
      <c r="F5" s="2369"/>
      <c r="G5" s="2369"/>
      <c r="H5" s="2369"/>
      <c r="I5" s="2369"/>
      <c r="J5" s="2370"/>
    </row>
    <row r="6" spans="1:12" ht="18" customHeight="1" x14ac:dyDescent="0.2">
      <c r="A6" s="2348" t="s">
        <v>0</v>
      </c>
      <c r="B6" s="2348" t="s">
        <v>1</v>
      </c>
      <c r="C6" s="2348" t="s">
        <v>2</v>
      </c>
      <c r="D6" s="2335" t="s">
        <v>1781</v>
      </c>
      <c r="E6" s="2335"/>
      <c r="F6" s="2335"/>
      <c r="G6" s="2335"/>
      <c r="H6" s="2335" t="s">
        <v>774</v>
      </c>
      <c r="I6" s="2335"/>
      <c r="J6" s="2335"/>
    </row>
    <row r="7" spans="1:12" ht="25.5" x14ac:dyDescent="0.2">
      <c r="A7" s="2348"/>
      <c r="B7" s="2348"/>
      <c r="C7" s="2348"/>
      <c r="D7" s="1617" t="s">
        <v>3</v>
      </c>
      <c r="E7" s="1617" t="s">
        <v>4</v>
      </c>
      <c r="F7" s="1617" t="s">
        <v>747</v>
      </c>
      <c r="G7" s="1617" t="s">
        <v>746</v>
      </c>
      <c r="H7" s="88" t="s">
        <v>748</v>
      </c>
      <c r="I7" s="1617" t="s">
        <v>747</v>
      </c>
      <c r="J7" s="1617" t="s">
        <v>746</v>
      </c>
    </row>
    <row r="8" spans="1:12" customFormat="1" ht="15" customHeight="1" x14ac:dyDescent="0.25">
      <c r="A8" s="649"/>
      <c r="B8" s="656"/>
      <c r="C8" s="2483" t="s">
        <v>1984</v>
      </c>
      <c r="D8" s="2484"/>
      <c r="E8" s="2484"/>
      <c r="F8" s="2484"/>
      <c r="G8" s="2484"/>
      <c r="H8" s="651">
        <f>+H9</f>
        <v>388162</v>
      </c>
      <c r="I8" s="652">
        <f>+I9</f>
        <v>191807.53</v>
      </c>
      <c r="J8" s="653">
        <f>+I8/H8*100</f>
        <v>49.414298669112384</v>
      </c>
    </row>
    <row r="9" spans="1:12" ht="16.5" customHeight="1" x14ac:dyDescent="0.2">
      <c r="A9" s="657" t="s">
        <v>333</v>
      </c>
      <c r="B9" s="658"/>
      <c r="C9" s="658"/>
      <c r="D9" s="659"/>
      <c r="E9" s="659"/>
      <c r="F9" s="659"/>
      <c r="G9" s="659"/>
      <c r="H9" s="35">
        <f>+H10</f>
        <v>388162</v>
      </c>
      <c r="I9" s="95">
        <f>+I10</f>
        <v>191807.53</v>
      </c>
      <c r="J9" s="660">
        <f>(I9*100)/H9</f>
        <v>49.414298669112384</v>
      </c>
    </row>
    <row r="10" spans="1:12" ht="15.75" customHeight="1" x14ac:dyDescent="0.2">
      <c r="A10" s="661"/>
      <c r="B10" s="662" t="s">
        <v>334</v>
      </c>
      <c r="C10" s="659"/>
      <c r="D10" s="659"/>
      <c r="E10" s="659"/>
      <c r="F10" s="659"/>
      <c r="G10" s="663"/>
      <c r="H10" s="664">
        <f>+H11+H20+H30+H31+H32+H16</f>
        <v>388162</v>
      </c>
      <c r="I10" s="665">
        <f>+I11+I20+I30+I31+I32+I16</f>
        <v>191807.53</v>
      </c>
      <c r="J10" s="660">
        <f>(I10*100)/H10</f>
        <v>49.414298669112384</v>
      </c>
      <c r="L10" s="93"/>
    </row>
    <row r="11" spans="1:12" ht="18.75" customHeight="1" x14ac:dyDescent="0.2">
      <c r="A11" s="106">
        <v>1</v>
      </c>
      <c r="B11" s="666" t="s">
        <v>335</v>
      </c>
      <c r="C11" s="54"/>
      <c r="D11" s="54"/>
      <c r="E11" s="54"/>
      <c r="F11" s="54"/>
      <c r="G11" s="54"/>
      <c r="H11" s="50">
        <f>SUM(H12:H15)</f>
        <v>13738</v>
      </c>
      <c r="I11" s="667">
        <f>SUM(I12:I15)</f>
        <v>7750</v>
      </c>
      <c r="J11" s="668">
        <f>+I11/H11*100</f>
        <v>56.412869413306154</v>
      </c>
    </row>
    <row r="12" spans="1:12" ht="18.75" customHeight="1" x14ac:dyDescent="0.2">
      <c r="A12" s="15">
        <v>1.1000000000000001</v>
      </c>
      <c r="B12" s="11" t="s">
        <v>336</v>
      </c>
      <c r="C12" s="41" t="s">
        <v>32</v>
      </c>
      <c r="D12" s="860" t="s">
        <v>337</v>
      </c>
      <c r="E12" s="17">
        <v>2</v>
      </c>
      <c r="F12" s="71">
        <v>0.8</v>
      </c>
      <c r="G12" s="669">
        <f t="shared" ref="G12:G32" si="0">+F12/E12*100</f>
        <v>40</v>
      </c>
      <c r="H12" s="58">
        <v>3900</v>
      </c>
      <c r="I12" s="102">
        <v>2000</v>
      </c>
      <c r="J12" s="669">
        <f t="shared" ref="J12:J32" si="1">+I12/H12*100</f>
        <v>51.282051282051277</v>
      </c>
    </row>
    <row r="13" spans="1:12" ht="18.75" customHeight="1" x14ac:dyDescent="0.2">
      <c r="A13" s="15">
        <v>1.2</v>
      </c>
      <c r="B13" s="11" t="s">
        <v>338</v>
      </c>
      <c r="C13" s="41" t="s">
        <v>32</v>
      </c>
      <c r="D13" s="861" t="s">
        <v>181</v>
      </c>
      <c r="E13" s="17">
        <v>2</v>
      </c>
      <c r="F13" s="25">
        <v>0.5</v>
      </c>
      <c r="G13" s="669">
        <f t="shared" si="0"/>
        <v>25</v>
      </c>
      <c r="H13" s="670">
        <v>4000</v>
      </c>
      <c r="I13" s="671">
        <v>2000</v>
      </c>
      <c r="J13" s="669">
        <f t="shared" si="1"/>
        <v>50</v>
      </c>
    </row>
    <row r="14" spans="1:12" ht="18.75" customHeight="1" x14ac:dyDescent="0.2">
      <c r="A14" s="15">
        <v>1.3</v>
      </c>
      <c r="B14" s="16" t="s">
        <v>339</v>
      </c>
      <c r="C14" s="41" t="s">
        <v>32</v>
      </c>
      <c r="D14" s="861" t="s">
        <v>340</v>
      </c>
      <c r="E14" s="17">
        <v>2</v>
      </c>
      <c r="F14" s="72">
        <v>0.5</v>
      </c>
      <c r="G14" s="669">
        <f t="shared" si="0"/>
        <v>25</v>
      </c>
      <c r="H14" s="672">
        <v>2000</v>
      </c>
      <c r="I14" s="673">
        <v>1500</v>
      </c>
      <c r="J14" s="669">
        <f t="shared" si="1"/>
        <v>75</v>
      </c>
    </row>
    <row r="15" spans="1:12" ht="29.25" customHeight="1" x14ac:dyDescent="0.2">
      <c r="A15" s="15">
        <v>1.4</v>
      </c>
      <c r="B15" s="16" t="s">
        <v>341</v>
      </c>
      <c r="C15" s="41" t="s">
        <v>32</v>
      </c>
      <c r="D15" s="861" t="s">
        <v>619</v>
      </c>
      <c r="E15" s="17">
        <v>50</v>
      </c>
      <c r="F15" s="674">
        <v>29</v>
      </c>
      <c r="G15" s="669">
        <f t="shared" si="0"/>
        <v>57.999999999999993</v>
      </c>
      <c r="H15" s="670">
        <v>3838</v>
      </c>
      <c r="I15" s="673">
        <v>2250</v>
      </c>
      <c r="J15" s="669">
        <f t="shared" si="1"/>
        <v>58.624283480979678</v>
      </c>
    </row>
    <row r="16" spans="1:12" ht="15" customHeight="1" x14ac:dyDescent="0.2">
      <c r="A16" s="28">
        <v>2</v>
      </c>
      <c r="B16" s="666" t="s">
        <v>342</v>
      </c>
      <c r="C16" s="55"/>
      <c r="D16" s="55"/>
      <c r="E16" s="54"/>
      <c r="F16" s="54"/>
      <c r="G16" s="54"/>
      <c r="H16" s="50">
        <f>SUM(H17:H19)</f>
        <v>500</v>
      </c>
      <c r="I16" s="667">
        <f>SUM(I17:I19)</f>
        <v>250</v>
      </c>
      <c r="J16" s="668">
        <f>+I16/H16*100</f>
        <v>50</v>
      </c>
    </row>
    <row r="17" spans="1:10" ht="18.75" customHeight="1" x14ac:dyDescent="0.2">
      <c r="A17" s="29">
        <v>2.1</v>
      </c>
      <c r="B17" s="675" t="s">
        <v>343</v>
      </c>
      <c r="C17" s="41" t="s">
        <v>32</v>
      </c>
      <c r="D17" s="860" t="s">
        <v>181</v>
      </c>
      <c r="E17" s="17">
        <v>12</v>
      </c>
      <c r="F17" s="18">
        <v>4</v>
      </c>
      <c r="G17" s="669">
        <f t="shared" si="0"/>
        <v>33.333333333333329</v>
      </c>
      <c r="H17" s="670">
        <v>500</v>
      </c>
      <c r="I17" s="676">
        <v>250</v>
      </c>
      <c r="J17" s="669">
        <f t="shared" si="1"/>
        <v>50</v>
      </c>
    </row>
    <row r="18" spans="1:10" ht="25.5" x14ac:dyDescent="0.2">
      <c r="A18" s="29">
        <v>2.2000000000000002</v>
      </c>
      <c r="B18" s="675" t="s">
        <v>344</v>
      </c>
      <c r="C18" s="41" t="s">
        <v>862</v>
      </c>
      <c r="D18" s="860" t="s">
        <v>181</v>
      </c>
      <c r="E18" s="17">
        <v>0.25</v>
      </c>
      <c r="F18" s="25">
        <v>0.15</v>
      </c>
      <c r="G18" s="669">
        <f t="shared" si="0"/>
        <v>60</v>
      </c>
      <c r="H18" s="58">
        <v>0</v>
      </c>
      <c r="I18" s="669">
        <v>0</v>
      </c>
      <c r="J18" s="669">
        <v>0</v>
      </c>
    </row>
    <row r="19" spans="1:10" ht="25.5" x14ac:dyDescent="0.2">
      <c r="A19" s="29">
        <v>2.2999999999999998</v>
      </c>
      <c r="B19" s="675" t="s">
        <v>345</v>
      </c>
      <c r="C19" s="41" t="s">
        <v>32</v>
      </c>
      <c r="D19" s="860" t="s">
        <v>180</v>
      </c>
      <c r="E19" s="17">
        <v>12</v>
      </c>
      <c r="F19" s="18">
        <v>1</v>
      </c>
      <c r="G19" s="669">
        <f t="shared" si="0"/>
        <v>8.3333333333333321</v>
      </c>
      <c r="H19" s="58">
        <v>0</v>
      </c>
      <c r="I19" s="669">
        <v>0</v>
      </c>
      <c r="J19" s="669">
        <v>0</v>
      </c>
    </row>
    <row r="20" spans="1:10" ht="16.5" customHeight="1" x14ac:dyDescent="0.2">
      <c r="A20" s="28">
        <v>3</v>
      </c>
      <c r="B20" s="54" t="s">
        <v>346</v>
      </c>
      <c r="C20" s="55"/>
      <c r="D20" s="55"/>
      <c r="E20" s="54"/>
      <c r="F20" s="54"/>
      <c r="G20" s="54"/>
      <c r="H20" s="50">
        <f>SUM(H21:H29)</f>
        <v>23200</v>
      </c>
      <c r="I20" s="667">
        <f>SUM(I21:I29)</f>
        <v>13500</v>
      </c>
      <c r="J20" s="677">
        <f>+I20/H20*100</f>
        <v>58.189655172413794</v>
      </c>
    </row>
    <row r="21" spans="1:10" ht="18.75" customHeight="1" x14ac:dyDescent="0.2">
      <c r="A21" s="29">
        <v>3.1</v>
      </c>
      <c r="B21" s="631" t="s">
        <v>620</v>
      </c>
      <c r="C21" s="680" t="s">
        <v>32</v>
      </c>
      <c r="D21" s="860" t="s">
        <v>347</v>
      </c>
      <c r="E21" s="71">
        <v>6</v>
      </c>
      <c r="F21" s="18">
        <v>5</v>
      </c>
      <c r="G21" s="669">
        <f t="shared" si="0"/>
        <v>83.333333333333343</v>
      </c>
      <c r="H21" s="58">
        <v>0</v>
      </c>
      <c r="I21" s="673">
        <v>0</v>
      </c>
      <c r="J21" s="669">
        <v>0</v>
      </c>
    </row>
    <row r="22" spans="1:10" ht="18" customHeight="1" x14ac:dyDescent="0.2">
      <c r="A22" s="632">
        <v>3.2</v>
      </c>
      <c r="B22" s="631" t="s">
        <v>621</v>
      </c>
      <c r="C22" s="680" t="s">
        <v>32</v>
      </c>
      <c r="D22" s="861" t="s">
        <v>2785</v>
      </c>
      <c r="E22" s="66">
        <v>4</v>
      </c>
      <c r="F22" s="25">
        <v>0</v>
      </c>
      <c r="G22" s="669">
        <f t="shared" si="0"/>
        <v>0</v>
      </c>
      <c r="H22" s="670">
        <v>0</v>
      </c>
      <c r="I22" s="671">
        <v>0</v>
      </c>
      <c r="J22" s="669">
        <v>0</v>
      </c>
    </row>
    <row r="23" spans="1:10" ht="15.75" customHeight="1" x14ac:dyDescent="0.2">
      <c r="A23" s="29">
        <v>3.3</v>
      </c>
      <c r="B23" s="631" t="s">
        <v>622</v>
      </c>
      <c r="C23" s="680" t="s">
        <v>32</v>
      </c>
      <c r="D23" s="861" t="s">
        <v>2784</v>
      </c>
      <c r="E23" s="66">
        <v>2</v>
      </c>
      <c r="F23" s="18">
        <v>1</v>
      </c>
      <c r="G23" s="669">
        <f t="shared" si="0"/>
        <v>50</v>
      </c>
      <c r="H23" s="670">
        <v>0</v>
      </c>
      <c r="I23" s="673">
        <v>0</v>
      </c>
      <c r="J23" s="669">
        <v>0</v>
      </c>
    </row>
    <row r="24" spans="1:10" ht="18.75" customHeight="1" x14ac:dyDescent="0.2">
      <c r="A24" s="632">
        <v>3.4</v>
      </c>
      <c r="B24" s="631" t="s">
        <v>623</v>
      </c>
      <c r="C24" s="680" t="s">
        <v>32</v>
      </c>
      <c r="D24" s="861" t="s">
        <v>180</v>
      </c>
      <c r="E24" s="66">
        <v>13</v>
      </c>
      <c r="F24" s="12">
        <v>7</v>
      </c>
      <c r="G24" s="669">
        <f t="shared" si="0"/>
        <v>53.846153846153847</v>
      </c>
      <c r="H24" s="58">
        <v>6000</v>
      </c>
      <c r="I24" s="102">
        <v>3000</v>
      </c>
      <c r="J24" s="669">
        <f t="shared" si="1"/>
        <v>50</v>
      </c>
    </row>
    <row r="25" spans="1:10" ht="18.75" customHeight="1" x14ac:dyDescent="0.2">
      <c r="A25" s="29">
        <v>3.5</v>
      </c>
      <c r="B25" s="49" t="s">
        <v>624</v>
      </c>
      <c r="C25" s="680" t="s">
        <v>32</v>
      </c>
      <c r="D25" s="44" t="s">
        <v>1982</v>
      </c>
      <c r="E25" s="48">
        <v>6</v>
      </c>
      <c r="F25" s="678">
        <v>4</v>
      </c>
      <c r="G25" s="669">
        <f t="shared" si="0"/>
        <v>66.666666666666657</v>
      </c>
      <c r="H25" s="8">
        <v>16200</v>
      </c>
      <c r="I25" s="80">
        <v>10000</v>
      </c>
      <c r="J25" s="669">
        <f t="shared" si="1"/>
        <v>61.728395061728392</v>
      </c>
    </row>
    <row r="26" spans="1:10" ht="25.5" x14ac:dyDescent="0.2">
      <c r="A26" s="632">
        <v>3.6</v>
      </c>
      <c r="B26" s="49" t="s">
        <v>2503</v>
      </c>
      <c r="C26" s="680" t="s">
        <v>32</v>
      </c>
      <c r="D26" s="44" t="s">
        <v>2786</v>
      </c>
      <c r="E26" s="48">
        <v>1</v>
      </c>
      <c r="F26" s="678">
        <v>0.5</v>
      </c>
      <c r="G26" s="669">
        <f t="shared" si="0"/>
        <v>50</v>
      </c>
      <c r="H26" s="8">
        <v>1000</v>
      </c>
      <c r="I26" s="80">
        <v>500</v>
      </c>
      <c r="J26" s="80">
        <f t="shared" si="1"/>
        <v>50</v>
      </c>
    </row>
    <row r="27" spans="1:10" ht="25.5" customHeight="1" x14ac:dyDescent="0.2">
      <c r="A27" s="29">
        <v>3.7</v>
      </c>
      <c r="B27" s="49" t="s">
        <v>2502</v>
      </c>
      <c r="C27" s="680" t="s">
        <v>32</v>
      </c>
      <c r="D27" s="44" t="s">
        <v>630</v>
      </c>
      <c r="E27" s="48">
        <v>0.25</v>
      </c>
      <c r="F27" s="678">
        <v>0</v>
      </c>
      <c r="G27" s="669">
        <f t="shared" si="0"/>
        <v>0</v>
      </c>
      <c r="H27" s="8">
        <v>0</v>
      </c>
      <c r="I27" s="80">
        <v>0</v>
      </c>
      <c r="J27" s="80">
        <v>0</v>
      </c>
    </row>
    <row r="28" spans="1:10" ht="18.75" customHeight="1" x14ac:dyDescent="0.2">
      <c r="A28" s="632">
        <v>3.8</v>
      </c>
      <c r="B28" s="49" t="s">
        <v>625</v>
      </c>
      <c r="C28" s="680" t="s">
        <v>32</v>
      </c>
      <c r="D28" s="37" t="s">
        <v>628</v>
      </c>
      <c r="E28" s="48">
        <v>1</v>
      </c>
      <c r="F28" s="678">
        <v>0</v>
      </c>
      <c r="G28" s="669">
        <f t="shared" si="0"/>
        <v>0</v>
      </c>
      <c r="H28" s="8">
        <v>0</v>
      </c>
      <c r="I28" s="80">
        <v>0</v>
      </c>
      <c r="J28" s="80">
        <v>0</v>
      </c>
    </row>
    <row r="29" spans="1:10" ht="18.75" customHeight="1" x14ac:dyDescent="0.2">
      <c r="A29" s="29">
        <v>3.9</v>
      </c>
      <c r="B29" s="49" t="s">
        <v>626</v>
      </c>
      <c r="C29" s="680" t="s">
        <v>32</v>
      </c>
      <c r="D29" s="37" t="s">
        <v>739</v>
      </c>
      <c r="E29" s="48">
        <v>0.25</v>
      </c>
      <c r="F29" s="678">
        <v>0.15</v>
      </c>
      <c r="G29" s="669">
        <f t="shared" si="0"/>
        <v>60</v>
      </c>
      <c r="H29" s="8">
        <v>0</v>
      </c>
      <c r="I29" s="80">
        <v>0</v>
      </c>
      <c r="J29" s="80">
        <v>0</v>
      </c>
    </row>
    <row r="30" spans="1:10" ht="40.5" customHeight="1" x14ac:dyDescent="0.2">
      <c r="A30" s="630">
        <v>4</v>
      </c>
      <c r="B30" s="49" t="s">
        <v>2788</v>
      </c>
      <c r="C30" s="41" t="s">
        <v>32</v>
      </c>
      <c r="D30" s="44" t="s">
        <v>629</v>
      </c>
      <c r="E30" s="1995">
        <v>0.25</v>
      </c>
      <c r="F30" s="1996">
        <v>0.05</v>
      </c>
      <c r="G30" s="677">
        <f t="shared" si="0"/>
        <v>20</v>
      </c>
      <c r="H30" s="679">
        <v>6000</v>
      </c>
      <c r="I30" s="62">
        <v>2000</v>
      </c>
      <c r="J30" s="677">
        <f t="shared" si="1"/>
        <v>33.333333333333329</v>
      </c>
    </row>
    <row r="31" spans="1:10" ht="15.75" customHeight="1" x14ac:dyDescent="0.2">
      <c r="A31" s="10">
        <v>5</v>
      </c>
      <c r="B31" s="1997" t="s">
        <v>631</v>
      </c>
      <c r="C31" s="41" t="s">
        <v>32</v>
      </c>
      <c r="D31" s="37" t="s">
        <v>111</v>
      </c>
      <c r="E31" s="1995">
        <v>12</v>
      </c>
      <c r="F31" s="1996">
        <v>8</v>
      </c>
      <c r="G31" s="677">
        <f t="shared" si="0"/>
        <v>66.666666666666657</v>
      </c>
      <c r="H31" s="679">
        <v>8000</v>
      </c>
      <c r="I31" s="62">
        <v>3123.2</v>
      </c>
      <c r="J31" s="677">
        <f t="shared" si="1"/>
        <v>39.04</v>
      </c>
    </row>
    <row r="32" spans="1:10" ht="16.5" customHeight="1" x14ac:dyDescent="0.2">
      <c r="A32" s="630">
        <v>6</v>
      </c>
      <c r="B32" s="1995" t="s">
        <v>627</v>
      </c>
      <c r="C32" s="41" t="s">
        <v>32</v>
      </c>
      <c r="D32" s="37" t="s">
        <v>430</v>
      </c>
      <c r="E32" s="1995">
        <v>12</v>
      </c>
      <c r="F32" s="1996">
        <v>6</v>
      </c>
      <c r="G32" s="677">
        <f t="shared" si="0"/>
        <v>50</v>
      </c>
      <c r="H32" s="679">
        <v>336724</v>
      </c>
      <c r="I32" s="62">
        <v>165184.32999999999</v>
      </c>
      <c r="J32" s="677">
        <f t="shared" si="1"/>
        <v>49.056298333353126</v>
      </c>
    </row>
    <row r="33" spans="1:2" ht="9.75" customHeight="1" x14ac:dyDescent="0.2">
      <c r="A33" s="1612" t="s">
        <v>2735</v>
      </c>
    </row>
    <row r="34" spans="1:2" ht="9" customHeight="1" x14ac:dyDescent="0.2">
      <c r="B34" s="1613" t="s">
        <v>2736</v>
      </c>
    </row>
  </sheetData>
  <mergeCells count="10">
    <mergeCell ref="D6:G6"/>
    <mergeCell ref="H6:J6"/>
    <mergeCell ref="C8:G8"/>
    <mergeCell ref="A2:B2"/>
    <mergeCell ref="A6:A7"/>
    <mergeCell ref="B6:B7"/>
    <mergeCell ref="C6:C7"/>
    <mergeCell ref="A4:J4"/>
    <mergeCell ref="A3:J3"/>
    <mergeCell ref="A5:J5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J299"/>
  <sheetViews>
    <sheetView view="pageBreakPreview" topLeftCell="A280" zoomScaleNormal="100" zoomScaleSheetLayoutView="100" workbookViewId="0">
      <selection activeCell="H249" sqref="H249"/>
    </sheetView>
  </sheetViews>
  <sheetFormatPr baseColWidth="10" defaultRowHeight="12.75" x14ac:dyDescent="0.2"/>
  <cols>
    <col min="1" max="1" width="4.140625" style="4" customWidth="1"/>
    <col min="2" max="2" width="61.42578125" style="2" customWidth="1"/>
    <col min="3" max="3" width="16.28515625" style="5" customWidth="1"/>
    <col min="4" max="4" width="15.42578125" style="26" customWidth="1"/>
    <col min="5" max="5" width="12.42578125" style="40" customWidth="1"/>
    <col min="6" max="6" width="12.5703125" style="2" customWidth="1"/>
    <col min="7" max="7" width="11.5703125" style="2" customWidth="1"/>
    <col min="8" max="8" width="13.85546875" style="2" customWidth="1"/>
    <col min="9" max="9" width="13.5703125" style="2" customWidth="1"/>
    <col min="10" max="10" width="9.5703125" style="2" customWidth="1"/>
    <col min="11" max="16384" width="11.42578125" style="2"/>
  </cols>
  <sheetData>
    <row r="2" spans="1:10" ht="18" customHeight="1" x14ac:dyDescent="0.2">
      <c r="A2" s="2426" t="s">
        <v>28</v>
      </c>
      <c r="B2" s="2427"/>
      <c r="C2" s="915"/>
      <c r="D2" s="1146"/>
      <c r="E2" s="917"/>
      <c r="F2" s="918"/>
      <c r="G2" s="1147"/>
      <c r="H2" s="1147"/>
      <c r="I2" s="1147"/>
      <c r="J2" s="920"/>
    </row>
    <row r="3" spans="1:10" ht="27" customHeight="1" x14ac:dyDescent="0.2">
      <c r="A3" s="2429" t="s">
        <v>2049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ht="18" customHeight="1" x14ac:dyDescent="0.2">
      <c r="A4" s="2366" t="s">
        <v>27</v>
      </c>
      <c r="B4" s="2337"/>
      <c r="C4" s="2337"/>
      <c r="D4" s="2337"/>
      <c r="E4" s="2337"/>
      <c r="F4" s="2337"/>
      <c r="G4" s="75"/>
      <c r="H4" s="75"/>
      <c r="I4" s="75"/>
      <c r="J4" s="648"/>
    </row>
    <row r="5" spans="1:10" ht="18" customHeight="1" x14ac:dyDescent="0.2">
      <c r="A5" s="2368" t="s">
        <v>26</v>
      </c>
      <c r="B5" s="2369"/>
      <c r="C5" s="2369"/>
      <c r="D5" s="2369"/>
      <c r="E5" s="2369"/>
      <c r="F5" s="2369"/>
      <c r="G5" s="1148"/>
      <c r="H5" s="1148"/>
      <c r="I5" s="1148"/>
      <c r="J5" s="1149"/>
    </row>
    <row r="6" spans="1:10" ht="18" customHeight="1" x14ac:dyDescent="0.2">
      <c r="A6" s="2498" t="s">
        <v>0</v>
      </c>
      <c r="B6" s="2498" t="s">
        <v>1</v>
      </c>
      <c r="C6" s="2498" t="s">
        <v>2</v>
      </c>
      <c r="D6" s="2499" t="s">
        <v>1781</v>
      </c>
      <c r="E6" s="2499"/>
      <c r="F6" s="2499"/>
      <c r="G6" s="2499"/>
      <c r="H6" s="2499" t="s">
        <v>774</v>
      </c>
      <c r="I6" s="2499"/>
      <c r="J6" s="2499"/>
    </row>
    <row r="7" spans="1:10" ht="26.25" customHeight="1" x14ac:dyDescent="0.2">
      <c r="A7" s="2498"/>
      <c r="B7" s="2498"/>
      <c r="C7" s="2498"/>
      <c r="D7" s="1646" t="s">
        <v>3</v>
      </c>
      <c r="E7" s="1646" t="s">
        <v>4</v>
      </c>
      <c r="F7" s="1646" t="s">
        <v>747</v>
      </c>
      <c r="G7" s="1646" t="s">
        <v>746</v>
      </c>
      <c r="H7" s="1150" t="s">
        <v>748</v>
      </c>
      <c r="I7" s="1646" t="s">
        <v>747</v>
      </c>
      <c r="J7" s="1646" t="s">
        <v>746</v>
      </c>
    </row>
    <row r="8" spans="1:10" customFormat="1" ht="17.25" customHeight="1" x14ac:dyDescent="0.25">
      <c r="A8" s="923"/>
      <c r="B8" s="1145"/>
      <c r="C8" s="2459" t="s">
        <v>1983</v>
      </c>
      <c r="D8" s="2502"/>
      <c r="E8" s="2502"/>
      <c r="F8" s="2502"/>
      <c r="G8" s="2502"/>
      <c r="H8" s="1676">
        <f>+H10+H12+H14+H33+H35+H52+H54+H65+H73+H80+H206+H245+H247+H249+H256+H291+H294+H298</f>
        <v>65794631</v>
      </c>
      <c r="I8" s="1677">
        <f>+I10+I12+I14+I33+I35+I52+I54+I65+I73+I80+I206+I245+I247+I249+I256+I291+I294+I298</f>
        <v>26850975.638095886</v>
      </c>
      <c r="J8" s="1151">
        <f>+I8/H8*100</f>
        <v>40.81028380278611</v>
      </c>
    </row>
    <row r="9" spans="1:10" ht="18.75" customHeight="1" x14ac:dyDescent="0.2">
      <c r="A9" s="2503" t="s">
        <v>189</v>
      </c>
      <c r="B9" s="2503"/>
      <c r="C9" s="1152"/>
      <c r="D9" s="1152"/>
      <c r="E9" s="1153"/>
      <c r="F9" s="1153"/>
      <c r="G9" s="1153"/>
      <c r="H9" s="1154">
        <f>+H10+H12+H14+H33+H52</f>
        <v>309433</v>
      </c>
      <c r="I9" s="1155">
        <f>+I10+I12+I14+I33+I52</f>
        <v>112066.53</v>
      </c>
      <c r="J9" s="1156">
        <f>+I9/H9*100</f>
        <v>36.216735125212892</v>
      </c>
    </row>
    <row r="10" spans="1:10" ht="15.75" customHeight="1" x14ac:dyDescent="0.2">
      <c r="A10" s="1157"/>
      <c r="B10" s="1158" t="s">
        <v>190</v>
      </c>
      <c r="C10" s="1152"/>
      <c r="D10" s="1152"/>
      <c r="E10" s="1153"/>
      <c r="F10" s="1153"/>
      <c r="G10" s="1153"/>
      <c r="H10" s="2272">
        <f>+H11</f>
        <v>69700</v>
      </c>
      <c r="I10" s="2273">
        <f>+I11</f>
        <v>25698.51</v>
      </c>
      <c r="J10" s="1156">
        <f>+I10/H10*100</f>
        <v>36.870172166427544</v>
      </c>
    </row>
    <row r="11" spans="1:10" ht="15.75" customHeight="1" x14ac:dyDescent="0.2">
      <c r="A11" s="1159">
        <v>1</v>
      </c>
      <c r="B11" s="1159" t="s">
        <v>191</v>
      </c>
      <c r="C11" s="1160" t="s">
        <v>32</v>
      </c>
      <c r="D11" s="1160" t="s">
        <v>41</v>
      </c>
      <c r="E11" s="1161">
        <v>500</v>
      </c>
      <c r="F11" s="1162">
        <f>+E11*J11/100</f>
        <v>184.35086083213773</v>
      </c>
      <c r="G11" s="1163">
        <f>+F11*100/E11</f>
        <v>36.870172166427544</v>
      </c>
      <c r="H11" s="1164">
        <v>69700</v>
      </c>
      <c r="I11" s="1165">
        <v>25698.51</v>
      </c>
      <c r="J11" s="1163">
        <f>+I11*100/H11</f>
        <v>36.870172166427544</v>
      </c>
    </row>
    <row r="12" spans="1:10" ht="16.5" customHeight="1" x14ac:dyDescent="0.2">
      <c r="A12" s="1157"/>
      <c r="B12" s="1158" t="s">
        <v>192</v>
      </c>
      <c r="C12" s="1152"/>
      <c r="D12" s="1152"/>
      <c r="E12" s="1153"/>
      <c r="F12" s="1153"/>
      <c r="G12" s="1166"/>
      <c r="H12" s="2272">
        <f>+H13</f>
        <v>11300</v>
      </c>
      <c r="I12" s="2273">
        <f>+I13</f>
        <v>0</v>
      </c>
      <c r="J12" s="1156">
        <f>+I12/H12*100</f>
        <v>0</v>
      </c>
    </row>
    <row r="13" spans="1:10" ht="16.5" customHeight="1" x14ac:dyDescent="0.2">
      <c r="A13" s="1167">
        <v>1</v>
      </c>
      <c r="B13" s="1159" t="s">
        <v>193</v>
      </c>
      <c r="C13" s="1160" t="s">
        <v>32</v>
      </c>
      <c r="D13" s="1160" t="s">
        <v>41</v>
      </c>
      <c r="E13" s="1161">
        <v>500</v>
      </c>
      <c r="F13" s="1162">
        <f>+E13*J13/100</f>
        <v>0</v>
      </c>
      <c r="G13" s="1163">
        <f>+F13*100/E13</f>
        <v>0</v>
      </c>
      <c r="H13" s="1164">
        <v>11300</v>
      </c>
      <c r="I13" s="1165">
        <v>0</v>
      </c>
      <c r="J13" s="1163">
        <f>+I13*100/H13</f>
        <v>0</v>
      </c>
    </row>
    <row r="14" spans="1:10" ht="18" customHeight="1" x14ac:dyDescent="0.2">
      <c r="A14" s="1642"/>
      <c r="B14" s="1168" t="s">
        <v>394</v>
      </c>
      <c r="C14" s="1152"/>
      <c r="D14" s="1152"/>
      <c r="E14" s="1153"/>
      <c r="F14" s="1153"/>
      <c r="G14" s="1163"/>
      <c r="H14" s="2272">
        <f>SUM(H15:H30)</f>
        <v>51148</v>
      </c>
      <c r="I14" s="2273">
        <f>SUM(I15:I30)</f>
        <v>9074.83</v>
      </c>
      <c r="J14" s="2278">
        <f>+I14*100/H14</f>
        <v>17.742296864002501</v>
      </c>
    </row>
    <row r="15" spans="1:10" ht="25.5" x14ac:dyDescent="0.2">
      <c r="A15" s="1643">
        <v>1</v>
      </c>
      <c r="B15" s="1169" t="s">
        <v>194</v>
      </c>
      <c r="C15" s="1645" t="s">
        <v>32</v>
      </c>
      <c r="D15" s="1647" t="s">
        <v>571</v>
      </c>
      <c r="E15" s="1170">
        <v>2</v>
      </c>
      <c r="F15" s="1170">
        <v>2</v>
      </c>
      <c r="G15" s="1171">
        <f>+F15*100/E15</f>
        <v>100</v>
      </c>
      <c r="H15" s="1174">
        <v>100</v>
      </c>
      <c r="I15" s="2279">
        <v>100</v>
      </c>
      <c r="J15" s="2279">
        <f>+I15/H15*100</f>
        <v>100</v>
      </c>
    </row>
    <row r="16" spans="1:10" ht="25.5" x14ac:dyDescent="0.2">
      <c r="A16" s="2491">
        <v>2</v>
      </c>
      <c r="B16" s="2492" t="s">
        <v>195</v>
      </c>
      <c r="C16" s="2497" t="s">
        <v>32</v>
      </c>
      <c r="D16" s="1647" t="s">
        <v>572</v>
      </c>
      <c r="E16" s="1170">
        <v>1</v>
      </c>
      <c r="F16" s="1170">
        <v>0</v>
      </c>
      <c r="G16" s="1171">
        <f>+F16*100/E16</f>
        <v>0</v>
      </c>
      <c r="H16" s="1174">
        <v>503</v>
      </c>
      <c r="I16" s="1186">
        <v>503</v>
      </c>
      <c r="J16" s="2279">
        <f t="shared" ref="J16:J32" si="0">+I16/H16*100</f>
        <v>100</v>
      </c>
    </row>
    <row r="17" spans="1:10" ht="25.5" x14ac:dyDescent="0.2">
      <c r="A17" s="2491"/>
      <c r="B17" s="2492"/>
      <c r="C17" s="2497"/>
      <c r="D17" s="1647" t="s">
        <v>573</v>
      </c>
      <c r="E17" s="1170">
        <v>1</v>
      </c>
      <c r="F17" s="1170">
        <v>0</v>
      </c>
      <c r="G17" s="1171" t="s">
        <v>1985</v>
      </c>
      <c r="H17" s="1174">
        <v>550</v>
      </c>
      <c r="I17" s="1175">
        <v>0</v>
      </c>
      <c r="J17" s="1173">
        <f t="shared" si="0"/>
        <v>0</v>
      </c>
    </row>
    <row r="18" spans="1:10" ht="38.25" x14ac:dyDescent="0.2">
      <c r="A18" s="2491"/>
      <c r="B18" s="2492"/>
      <c r="C18" s="2497"/>
      <c r="D18" s="1647" t="s">
        <v>581</v>
      </c>
      <c r="E18" s="1170">
        <v>2</v>
      </c>
      <c r="F18" s="1170">
        <v>0</v>
      </c>
      <c r="G18" s="1171">
        <f t="shared" ref="G18:G34" si="1">+F18*100/E18</f>
        <v>0</v>
      </c>
      <c r="H18" s="1174">
        <v>1201</v>
      </c>
      <c r="I18" s="1175">
        <v>0</v>
      </c>
      <c r="J18" s="1173">
        <v>0</v>
      </c>
    </row>
    <row r="19" spans="1:10" ht="25.5" customHeight="1" x14ac:dyDescent="0.2">
      <c r="A19" s="1643">
        <v>3</v>
      </c>
      <c r="B19" s="1169" t="s">
        <v>196</v>
      </c>
      <c r="C19" s="1645" t="s">
        <v>32</v>
      </c>
      <c r="D19" s="1177" t="s">
        <v>574</v>
      </c>
      <c r="E19" s="1170">
        <v>1</v>
      </c>
      <c r="F19" s="1170">
        <v>1</v>
      </c>
      <c r="G19" s="1171">
        <f t="shared" si="1"/>
        <v>100</v>
      </c>
      <c r="H19" s="1174">
        <v>300</v>
      </c>
      <c r="I19" s="1175">
        <v>300</v>
      </c>
      <c r="J19" s="1173">
        <f t="shared" si="0"/>
        <v>100</v>
      </c>
    </row>
    <row r="20" spans="1:10" ht="18" customHeight="1" x14ac:dyDescent="0.2">
      <c r="A20" s="2491">
        <v>4</v>
      </c>
      <c r="B20" s="2492" t="s">
        <v>1986</v>
      </c>
      <c r="C20" s="2497" t="s">
        <v>32</v>
      </c>
      <c r="D20" s="1647" t="s">
        <v>580</v>
      </c>
      <c r="E20" s="1170">
        <v>1</v>
      </c>
      <c r="F20" s="1170">
        <v>1</v>
      </c>
      <c r="G20" s="1171">
        <f t="shared" si="1"/>
        <v>100</v>
      </c>
      <c r="H20" s="1174">
        <v>503</v>
      </c>
      <c r="I20" s="1175">
        <v>503</v>
      </c>
      <c r="J20" s="1173">
        <f t="shared" si="0"/>
        <v>100</v>
      </c>
    </row>
    <row r="21" spans="1:10" ht="25.5" x14ac:dyDescent="0.2">
      <c r="A21" s="2491"/>
      <c r="B21" s="2492"/>
      <c r="C21" s="2497"/>
      <c r="D21" s="1647" t="s">
        <v>575</v>
      </c>
      <c r="E21" s="1170">
        <v>5</v>
      </c>
      <c r="F21" s="1170">
        <v>2</v>
      </c>
      <c r="G21" s="1171">
        <f t="shared" si="1"/>
        <v>40</v>
      </c>
      <c r="H21" s="1174">
        <v>403</v>
      </c>
      <c r="I21" s="1175">
        <f>150+139</f>
        <v>289</v>
      </c>
      <c r="J21" s="1173">
        <f t="shared" si="0"/>
        <v>71.712158808932998</v>
      </c>
    </row>
    <row r="22" spans="1:10" ht="26.25" customHeight="1" x14ac:dyDescent="0.2">
      <c r="A22" s="1643">
        <v>5</v>
      </c>
      <c r="B22" s="1169" t="s">
        <v>197</v>
      </c>
      <c r="C22" s="1645" t="s">
        <v>32</v>
      </c>
      <c r="D22" s="1177" t="s">
        <v>574</v>
      </c>
      <c r="E22" s="1170">
        <v>12</v>
      </c>
      <c r="F22" s="1170">
        <v>6</v>
      </c>
      <c r="G22" s="1171">
        <f t="shared" si="1"/>
        <v>50</v>
      </c>
      <c r="H22" s="1174">
        <v>376</v>
      </c>
      <c r="I22" s="1175">
        <v>188</v>
      </c>
      <c r="J22" s="1173">
        <f t="shared" si="0"/>
        <v>50</v>
      </c>
    </row>
    <row r="23" spans="1:10" ht="25.5" x14ac:dyDescent="0.2">
      <c r="A23" s="1643">
        <v>6</v>
      </c>
      <c r="B23" s="1169" t="s">
        <v>198</v>
      </c>
      <c r="C23" s="1645" t="s">
        <v>32</v>
      </c>
      <c r="D23" s="1177" t="s">
        <v>574</v>
      </c>
      <c r="E23" s="1170">
        <v>12</v>
      </c>
      <c r="F23" s="1170">
        <v>4</v>
      </c>
      <c r="G23" s="1171">
        <f t="shared" si="1"/>
        <v>33.333333333333336</v>
      </c>
      <c r="H23" s="1174">
        <v>466</v>
      </c>
      <c r="I23" s="1175">
        <v>160</v>
      </c>
      <c r="J23" s="1173">
        <f t="shared" si="0"/>
        <v>34.334763948497852</v>
      </c>
    </row>
    <row r="24" spans="1:10" ht="27" customHeight="1" x14ac:dyDescent="0.2">
      <c r="A24" s="2491">
        <v>7</v>
      </c>
      <c r="B24" s="2492" t="s">
        <v>199</v>
      </c>
      <c r="C24" s="2493" t="s">
        <v>32</v>
      </c>
      <c r="D24" s="1647" t="s">
        <v>576</v>
      </c>
      <c r="E24" s="1170">
        <v>12</v>
      </c>
      <c r="F24" s="1170">
        <v>6</v>
      </c>
      <c r="G24" s="1171">
        <f t="shared" si="1"/>
        <v>50</v>
      </c>
      <c r="H24" s="1174">
        <v>0</v>
      </c>
      <c r="I24" s="1175">
        <v>500</v>
      </c>
      <c r="J24" s="1173">
        <v>0</v>
      </c>
    </row>
    <row r="25" spans="1:10" ht="25.5" x14ac:dyDescent="0.2">
      <c r="A25" s="2491"/>
      <c r="B25" s="2492"/>
      <c r="C25" s="2493" t="s">
        <v>32</v>
      </c>
      <c r="D25" s="1647" t="s">
        <v>200</v>
      </c>
      <c r="E25" s="1170">
        <v>12</v>
      </c>
      <c r="F25" s="1170">
        <v>5</v>
      </c>
      <c r="G25" s="1171">
        <f t="shared" si="1"/>
        <v>41.666666666666664</v>
      </c>
      <c r="H25" s="1174">
        <v>1067</v>
      </c>
      <c r="I25" s="1175">
        <v>534</v>
      </c>
      <c r="J25" s="1173">
        <v>0</v>
      </c>
    </row>
    <row r="26" spans="1:10" ht="25.5" x14ac:dyDescent="0.2">
      <c r="A26" s="1643">
        <v>8</v>
      </c>
      <c r="B26" s="1169" t="s">
        <v>201</v>
      </c>
      <c r="C26" s="1645" t="s">
        <v>32</v>
      </c>
      <c r="D26" s="1177" t="s">
        <v>577</v>
      </c>
      <c r="E26" s="1170">
        <v>276</v>
      </c>
      <c r="F26" s="1170">
        <v>139</v>
      </c>
      <c r="G26" s="1171">
        <f t="shared" si="1"/>
        <v>50.362318840579711</v>
      </c>
      <c r="H26" s="1174">
        <v>10000</v>
      </c>
      <c r="I26" s="1175">
        <v>5517.83</v>
      </c>
      <c r="J26" s="1173">
        <f t="shared" si="0"/>
        <v>55.1783</v>
      </c>
    </row>
    <row r="27" spans="1:10" ht="27" customHeight="1" x14ac:dyDescent="0.2">
      <c r="A27" s="2491">
        <v>9</v>
      </c>
      <c r="B27" s="2492" t="s">
        <v>202</v>
      </c>
      <c r="C27" s="2493" t="s">
        <v>32</v>
      </c>
      <c r="D27" s="1647" t="s">
        <v>1987</v>
      </c>
      <c r="E27" s="1170">
        <v>15</v>
      </c>
      <c r="F27" s="1170">
        <v>7</v>
      </c>
      <c r="G27" s="1171">
        <f t="shared" si="1"/>
        <v>46.666666666666664</v>
      </c>
      <c r="H27" s="1174">
        <v>300</v>
      </c>
      <c r="I27" s="1175">
        <v>140</v>
      </c>
      <c r="J27" s="1173">
        <f t="shared" si="0"/>
        <v>46.666666666666664</v>
      </c>
    </row>
    <row r="28" spans="1:10" ht="26.25" customHeight="1" x14ac:dyDescent="0.2">
      <c r="A28" s="2491"/>
      <c r="B28" s="2492"/>
      <c r="C28" s="2493" t="s">
        <v>32</v>
      </c>
      <c r="D28" s="1647" t="s">
        <v>578</v>
      </c>
      <c r="E28" s="1170">
        <v>15</v>
      </c>
      <c r="F28" s="1170">
        <v>7</v>
      </c>
      <c r="G28" s="1171">
        <f t="shared" si="1"/>
        <v>46.666666666666664</v>
      </c>
      <c r="H28" s="1174">
        <v>300</v>
      </c>
      <c r="I28" s="1186">
        <v>140</v>
      </c>
      <c r="J28" s="2279">
        <f t="shared" si="0"/>
        <v>46.666666666666664</v>
      </c>
    </row>
    <row r="29" spans="1:10" ht="25.5" x14ac:dyDescent="0.2">
      <c r="A29" s="1643">
        <v>10</v>
      </c>
      <c r="B29" s="1169" t="s">
        <v>203</v>
      </c>
      <c r="C29" s="1645" t="s">
        <v>32</v>
      </c>
      <c r="D29" s="1177" t="s">
        <v>579</v>
      </c>
      <c r="E29" s="1170">
        <v>8</v>
      </c>
      <c r="F29" s="1170">
        <v>5</v>
      </c>
      <c r="G29" s="1171">
        <f t="shared" si="1"/>
        <v>62.5</v>
      </c>
      <c r="H29" s="1174">
        <v>466</v>
      </c>
      <c r="I29" s="1186">
        <v>200</v>
      </c>
      <c r="J29" s="2279">
        <f t="shared" si="0"/>
        <v>42.918454935622321</v>
      </c>
    </row>
    <row r="30" spans="1:10" ht="24" customHeight="1" x14ac:dyDescent="0.2">
      <c r="A30" s="1643">
        <v>11</v>
      </c>
      <c r="B30" s="1178" t="s">
        <v>1988</v>
      </c>
      <c r="C30" s="1645" t="s">
        <v>32</v>
      </c>
      <c r="D30" s="1177" t="s">
        <v>570</v>
      </c>
      <c r="E30" s="1170">
        <v>12</v>
      </c>
      <c r="F30" s="1170">
        <v>0</v>
      </c>
      <c r="G30" s="1171">
        <f t="shared" si="1"/>
        <v>0</v>
      </c>
      <c r="H30" s="1174">
        <f>SUM(H31:H32)</f>
        <v>34613</v>
      </c>
      <c r="I30" s="1186">
        <v>0</v>
      </c>
      <c r="J30" s="2279">
        <f t="shared" si="0"/>
        <v>0</v>
      </c>
    </row>
    <row r="31" spans="1:10" ht="18" customHeight="1" x14ac:dyDescent="0.2">
      <c r="A31" s="1179">
        <v>11.1</v>
      </c>
      <c r="B31" s="1178" t="s">
        <v>1989</v>
      </c>
      <c r="C31" s="1645" t="s">
        <v>32</v>
      </c>
      <c r="D31" s="1176" t="s">
        <v>485</v>
      </c>
      <c r="E31" s="1170">
        <v>1</v>
      </c>
      <c r="F31" s="1170">
        <v>0</v>
      </c>
      <c r="G31" s="1171">
        <f t="shared" si="1"/>
        <v>0</v>
      </c>
      <c r="H31" s="1174">
        <v>2495</v>
      </c>
      <c r="I31" s="1186">
        <v>0</v>
      </c>
      <c r="J31" s="2279">
        <f t="shared" si="0"/>
        <v>0</v>
      </c>
    </row>
    <row r="32" spans="1:10" ht="16.5" customHeight="1" x14ac:dyDescent="0.2">
      <c r="A32" s="1179">
        <v>11.2</v>
      </c>
      <c r="B32" s="1178" t="s">
        <v>244</v>
      </c>
      <c r="C32" s="1645" t="s">
        <v>32</v>
      </c>
      <c r="D32" s="1176" t="s">
        <v>485</v>
      </c>
      <c r="E32" s="1170">
        <v>1</v>
      </c>
      <c r="F32" s="1170">
        <v>0</v>
      </c>
      <c r="G32" s="1171">
        <f t="shared" si="1"/>
        <v>0</v>
      </c>
      <c r="H32" s="1174">
        <v>32118</v>
      </c>
      <c r="I32" s="1186">
        <v>0</v>
      </c>
      <c r="J32" s="2279">
        <f t="shared" si="0"/>
        <v>0</v>
      </c>
    </row>
    <row r="33" spans="1:10" ht="18" customHeight="1" x14ac:dyDescent="0.2">
      <c r="A33" s="1157"/>
      <c r="B33" s="1158" t="s">
        <v>364</v>
      </c>
      <c r="C33" s="1152"/>
      <c r="D33" s="1152"/>
      <c r="E33" s="1180"/>
      <c r="F33" s="1180"/>
      <c r="G33" s="1181"/>
      <c r="H33" s="2272">
        <f>+H34</f>
        <v>11604</v>
      </c>
      <c r="I33" s="2273">
        <f>+I34</f>
        <v>7070.43</v>
      </c>
      <c r="J33" s="2273">
        <f>+I33/H33*100</f>
        <v>60.930972078593591</v>
      </c>
    </row>
    <row r="34" spans="1:10" ht="18.75" customHeight="1" x14ac:dyDescent="0.2">
      <c r="A34" s="1182">
        <v>1</v>
      </c>
      <c r="B34" s="1178" t="s">
        <v>204</v>
      </c>
      <c r="C34" s="1183" t="s">
        <v>32</v>
      </c>
      <c r="D34" s="1183" t="s">
        <v>111</v>
      </c>
      <c r="E34" s="1184">
        <v>12</v>
      </c>
      <c r="F34" s="1162">
        <f>+E34*J34/100</f>
        <v>7.3117166494312311</v>
      </c>
      <c r="G34" s="1185">
        <f t="shared" si="1"/>
        <v>60.930972078593591</v>
      </c>
      <c r="H34" s="1174">
        <v>11604</v>
      </c>
      <c r="I34" s="1186">
        <v>7070.43</v>
      </c>
      <c r="J34" s="1185">
        <f>+I34*100/H34</f>
        <v>60.930972078593591</v>
      </c>
    </row>
    <row r="35" spans="1:10" ht="18.75" customHeight="1" x14ac:dyDescent="0.2">
      <c r="A35" s="1187"/>
      <c r="B35" s="1188" t="s">
        <v>393</v>
      </c>
      <c r="C35" s="1189"/>
      <c r="D35" s="1189"/>
      <c r="E35" s="1190"/>
      <c r="F35" s="1190"/>
      <c r="G35" s="1190"/>
      <c r="H35" s="2280">
        <f>+H36+H40+H46+H47+H48+H49+H50+H51</f>
        <v>231840</v>
      </c>
      <c r="I35" s="2281">
        <f>+I36+I40+I46+I47+I48+I49+I50+I51</f>
        <v>74478.78</v>
      </c>
      <c r="J35" s="2273">
        <f>+I35/H35*100</f>
        <v>32.125077639751552</v>
      </c>
    </row>
    <row r="36" spans="1:10" ht="24" customHeight="1" x14ac:dyDescent="0.2">
      <c r="A36" s="1191">
        <v>1</v>
      </c>
      <c r="B36" s="1192" t="s">
        <v>583</v>
      </c>
      <c r="C36" s="1193"/>
      <c r="D36" s="1193"/>
      <c r="E36" s="1194"/>
      <c r="F36" s="1194"/>
      <c r="G36" s="1194"/>
      <c r="H36" s="1673">
        <f>SUM(H37:H39)</f>
        <v>4080</v>
      </c>
      <c r="I36" s="2277">
        <f>SUM(I37:I39)</f>
        <v>1399.04</v>
      </c>
      <c r="J36" s="1259">
        <f>+I36/H36*100</f>
        <v>34.290196078431372</v>
      </c>
    </row>
    <row r="37" spans="1:10" ht="25.5" customHeight="1" x14ac:dyDescent="0.2">
      <c r="A37" s="1197" t="s">
        <v>584</v>
      </c>
      <c r="B37" s="1169" t="s">
        <v>585</v>
      </c>
      <c r="C37" s="1647" t="s">
        <v>37</v>
      </c>
      <c r="D37" s="1647" t="s">
        <v>596</v>
      </c>
      <c r="E37" s="1198">
        <v>20</v>
      </c>
      <c r="F37" s="1198">
        <v>6</v>
      </c>
      <c r="G37" s="1199">
        <f>+F37/E37*100</f>
        <v>30</v>
      </c>
      <c r="H37" s="1275">
        <v>780</v>
      </c>
      <c r="I37" s="1200">
        <v>779.04</v>
      </c>
      <c r="J37" s="1201">
        <f>+I37/H37*100</f>
        <v>99.876923076923077</v>
      </c>
    </row>
    <row r="38" spans="1:10" ht="18.75" customHeight="1" x14ac:dyDescent="0.2">
      <c r="A38" s="1197">
        <v>1.2</v>
      </c>
      <c r="B38" s="1169" t="s">
        <v>586</v>
      </c>
      <c r="C38" s="1647" t="s">
        <v>37</v>
      </c>
      <c r="D38" s="1647" t="s">
        <v>205</v>
      </c>
      <c r="E38" s="1198">
        <v>20</v>
      </c>
      <c r="F38" s="1198">
        <v>6</v>
      </c>
      <c r="G38" s="1199">
        <f t="shared" ref="G38:G51" si="2">+F38/E38*100</f>
        <v>30</v>
      </c>
      <c r="H38" s="1275">
        <v>1280</v>
      </c>
      <c r="I38" s="1200">
        <v>180</v>
      </c>
      <c r="J38" s="1201">
        <f>+I38/H38*100</f>
        <v>14.0625</v>
      </c>
    </row>
    <row r="39" spans="1:10" ht="18.75" customHeight="1" x14ac:dyDescent="0.2">
      <c r="A39" s="1197">
        <v>1.3</v>
      </c>
      <c r="B39" s="1169" t="s">
        <v>587</v>
      </c>
      <c r="C39" s="1647" t="s">
        <v>37</v>
      </c>
      <c r="D39" s="1647" t="s">
        <v>2061</v>
      </c>
      <c r="E39" s="1198">
        <v>20</v>
      </c>
      <c r="F39" s="1198">
        <v>30</v>
      </c>
      <c r="G39" s="1199">
        <f t="shared" si="2"/>
        <v>150</v>
      </c>
      <c r="H39" s="1275">
        <v>2020</v>
      </c>
      <c r="I39" s="1200">
        <v>440</v>
      </c>
      <c r="J39" s="1201">
        <f>+I39/H39*100</f>
        <v>21.782178217821784</v>
      </c>
    </row>
    <row r="40" spans="1:10" ht="27" customHeight="1" x14ac:dyDescent="0.2">
      <c r="A40" s="1191">
        <v>2</v>
      </c>
      <c r="B40" s="1192" t="s">
        <v>588</v>
      </c>
      <c r="C40" s="1202"/>
      <c r="D40" s="1202"/>
      <c r="E40" s="1198"/>
      <c r="F40" s="1198"/>
      <c r="G40" s="1199"/>
      <c r="H40" s="1258">
        <f>SUM(H41:H45)</f>
        <v>60965</v>
      </c>
      <c r="I40" s="1196">
        <f>SUM(I41:I45)</f>
        <v>12667.61</v>
      </c>
      <c r="J40" s="1196">
        <f t="shared" ref="J40:J51" si="3">+I40/H40*100</f>
        <v>20.778495858279342</v>
      </c>
    </row>
    <row r="41" spans="1:10" ht="27" customHeight="1" x14ac:dyDescent="0.2">
      <c r="A41" s="1197">
        <v>2.1</v>
      </c>
      <c r="B41" s="1169" t="s">
        <v>589</v>
      </c>
      <c r="C41" s="1647" t="s">
        <v>37</v>
      </c>
      <c r="D41" s="1647" t="s">
        <v>594</v>
      </c>
      <c r="E41" s="1203">
        <v>4578</v>
      </c>
      <c r="F41" s="1203">
        <v>2050</v>
      </c>
      <c r="G41" s="1199">
        <f t="shared" si="2"/>
        <v>44.779379641764962</v>
      </c>
      <c r="H41" s="1275">
        <v>5800</v>
      </c>
      <c r="I41" s="1200">
        <v>5063.6099999999997</v>
      </c>
      <c r="J41" s="1201">
        <f t="shared" si="3"/>
        <v>87.303620689655176</v>
      </c>
    </row>
    <row r="42" spans="1:10" ht="27.75" customHeight="1" x14ac:dyDescent="0.2">
      <c r="A42" s="1197">
        <v>2.2000000000000002</v>
      </c>
      <c r="B42" s="1169" t="s">
        <v>2062</v>
      </c>
      <c r="C42" s="1647" t="s">
        <v>37</v>
      </c>
      <c r="D42" s="1647" t="s">
        <v>595</v>
      </c>
      <c r="E42" s="1198">
        <v>22</v>
      </c>
      <c r="F42" s="1198">
        <v>147</v>
      </c>
      <c r="G42" s="1199">
        <f t="shared" si="2"/>
        <v>668.18181818181813</v>
      </c>
      <c r="H42" s="1275">
        <v>20000</v>
      </c>
      <c r="I42" s="1200">
        <v>1901</v>
      </c>
      <c r="J42" s="1201">
        <f t="shared" si="3"/>
        <v>9.504999999999999</v>
      </c>
    </row>
    <row r="43" spans="1:10" ht="18.75" customHeight="1" x14ac:dyDescent="0.2">
      <c r="A43" s="1197">
        <v>2.2999999999999998</v>
      </c>
      <c r="B43" s="1178" t="s">
        <v>590</v>
      </c>
      <c r="C43" s="1647" t="s">
        <v>37</v>
      </c>
      <c r="D43" s="1183" t="s">
        <v>595</v>
      </c>
      <c r="E43" s="1198">
        <v>4</v>
      </c>
      <c r="F43" s="1198">
        <v>2</v>
      </c>
      <c r="G43" s="1199">
        <f t="shared" si="2"/>
        <v>50</v>
      </c>
      <c r="H43" s="1275">
        <v>12010</v>
      </c>
      <c r="I43" s="1200">
        <v>1901</v>
      </c>
      <c r="J43" s="1201">
        <f t="shared" si="3"/>
        <v>15.828476269775187</v>
      </c>
    </row>
    <row r="44" spans="1:10" ht="24.75" customHeight="1" x14ac:dyDescent="0.2">
      <c r="A44" s="1197">
        <v>2.4</v>
      </c>
      <c r="B44" s="1169" t="s">
        <v>593</v>
      </c>
      <c r="C44" s="1647" t="s">
        <v>37</v>
      </c>
      <c r="D44" s="1647" t="s">
        <v>249</v>
      </c>
      <c r="E44" s="1198">
        <v>960</v>
      </c>
      <c r="F44" s="1198">
        <v>9574</v>
      </c>
      <c r="G44" s="1199">
        <f>+F44/E44*100</f>
        <v>997.29166666666663</v>
      </c>
      <c r="H44" s="1275">
        <v>12010</v>
      </c>
      <c r="I44" s="1200">
        <v>1901</v>
      </c>
      <c r="J44" s="1201">
        <f t="shared" si="3"/>
        <v>15.828476269775187</v>
      </c>
    </row>
    <row r="45" spans="1:10" ht="25.5" customHeight="1" x14ac:dyDescent="0.2">
      <c r="A45" s="1197">
        <v>2.5</v>
      </c>
      <c r="B45" s="1169" t="s">
        <v>591</v>
      </c>
      <c r="C45" s="1647" t="s">
        <v>37</v>
      </c>
      <c r="D45" s="1647" t="s">
        <v>249</v>
      </c>
      <c r="E45" s="1198">
        <v>2400</v>
      </c>
      <c r="F45" s="1198">
        <v>6078</v>
      </c>
      <c r="G45" s="1199">
        <f t="shared" si="2"/>
        <v>253.25000000000003</v>
      </c>
      <c r="H45" s="1275">
        <v>11145</v>
      </c>
      <c r="I45" s="1200">
        <v>1901</v>
      </c>
      <c r="J45" s="1201">
        <f t="shared" si="3"/>
        <v>17.05697622252131</v>
      </c>
    </row>
    <row r="46" spans="1:10" ht="24.75" customHeight="1" x14ac:dyDescent="0.2">
      <c r="A46" s="1191">
        <v>3</v>
      </c>
      <c r="B46" s="1192" t="s">
        <v>592</v>
      </c>
      <c r="C46" s="1202" t="s">
        <v>37</v>
      </c>
      <c r="D46" s="1202" t="s">
        <v>249</v>
      </c>
      <c r="E46" s="1204">
        <v>500</v>
      </c>
      <c r="F46" s="1204">
        <v>250</v>
      </c>
      <c r="G46" s="1205">
        <f t="shared" si="2"/>
        <v>50</v>
      </c>
      <c r="H46" s="1258">
        <v>23890</v>
      </c>
      <c r="I46" s="1195">
        <v>1776.7</v>
      </c>
      <c r="J46" s="1196">
        <f t="shared" si="3"/>
        <v>7.4370029300962743</v>
      </c>
    </row>
    <row r="47" spans="1:10" ht="18.75" customHeight="1" x14ac:dyDescent="0.2">
      <c r="A47" s="1191">
        <v>4</v>
      </c>
      <c r="B47" s="1192" t="s">
        <v>546</v>
      </c>
      <c r="C47" s="1193" t="s">
        <v>37</v>
      </c>
      <c r="D47" s="1193" t="s">
        <v>38</v>
      </c>
      <c r="E47" s="1206">
        <v>6</v>
      </c>
      <c r="F47" s="1206">
        <v>6</v>
      </c>
      <c r="G47" s="1207">
        <f t="shared" si="2"/>
        <v>100</v>
      </c>
      <c r="H47" s="1258">
        <v>100800</v>
      </c>
      <c r="I47" s="2277">
        <f>22618.48-924.78</f>
        <v>21693.7</v>
      </c>
      <c r="J47" s="1259">
        <f t="shared" si="3"/>
        <v>21.521527777777781</v>
      </c>
    </row>
    <row r="48" spans="1:10" ht="27.75" customHeight="1" x14ac:dyDescent="0.2">
      <c r="A48" s="1191">
        <v>5</v>
      </c>
      <c r="B48" s="1192" t="s">
        <v>2063</v>
      </c>
      <c r="C48" s="1193" t="s">
        <v>37</v>
      </c>
      <c r="D48" s="1193" t="s">
        <v>249</v>
      </c>
      <c r="E48" s="1206">
        <v>6</v>
      </c>
      <c r="F48" s="1206">
        <v>6</v>
      </c>
      <c r="G48" s="1207">
        <f t="shared" si="2"/>
        <v>100</v>
      </c>
      <c r="H48" s="1258">
        <v>22620</v>
      </c>
      <c r="I48" s="2277">
        <v>22618.48</v>
      </c>
      <c r="J48" s="1259">
        <f t="shared" si="3"/>
        <v>99.993280282935444</v>
      </c>
    </row>
    <row r="49" spans="1:10" ht="18.75" customHeight="1" x14ac:dyDescent="0.2">
      <c r="A49" s="1191">
        <v>6</v>
      </c>
      <c r="B49" s="1192" t="s">
        <v>2064</v>
      </c>
      <c r="C49" s="1193" t="s">
        <v>37</v>
      </c>
      <c r="D49" s="1193" t="s">
        <v>38</v>
      </c>
      <c r="E49" s="1206">
        <v>6</v>
      </c>
      <c r="F49" s="1206">
        <v>6</v>
      </c>
      <c r="G49" s="1207">
        <f t="shared" si="2"/>
        <v>100</v>
      </c>
      <c r="H49" s="1258">
        <v>7485</v>
      </c>
      <c r="I49" s="2277">
        <v>3513.11</v>
      </c>
      <c r="J49" s="1259">
        <f t="shared" si="3"/>
        <v>46.935337341349367</v>
      </c>
    </row>
    <row r="50" spans="1:10" ht="18.75" customHeight="1" x14ac:dyDescent="0.2">
      <c r="A50" s="1191">
        <v>7</v>
      </c>
      <c r="B50" s="1192" t="s">
        <v>2065</v>
      </c>
      <c r="C50" s="1193" t="s">
        <v>37</v>
      </c>
      <c r="D50" s="1193" t="s">
        <v>97</v>
      </c>
      <c r="E50" s="1206">
        <v>1</v>
      </c>
      <c r="F50" s="1206">
        <v>1</v>
      </c>
      <c r="G50" s="1207">
        <f t="shared" si="2"/>
        <v>100</v>
      </c>
      <c r="H50" s="1258">
        <v>5000</v>
      </c>
      <c r="I50" s="2277">
        <v>4950</v>
      </c>
      <c r="J50" s="1259">
        <f t="shared" si="3"/>
        <v>99</v>
      </c>
    </row>
    <row r="51" spans="1:10" ht="18.75" customHeight="1" x14ac:dyDescent="0.2">
      <c r="A51" s="1191">
        <v>8</v>
      </c>
      <c r="B51" s="1192" t="s">
        <v>2066</v>
      </c>
      <c r="C51" s="1193" t="s">
        <v>37</v>
      </c>
      <c r="D51" s="1193" t="s">
        <v>97</v>
      </c>
      <c r="E51" s="1206">
        <v>1</v>
      </c>
      <c r="F51" s="1206">
        <v>1</v>
      </c>
      <c r="G51" s="1207">
        <f t="shared" si="2"/>
        <v>100</v>
      </c>
      <c r="H51" s="1258">
        <v>7000</v>
      </c>
      <c r="I51" s="2277">
        <v>5860.14</v>
      </c>
      <c r="J51" s="1259">
        <f t="shared" si="3"/>
        <v>83.716285714285718</v>
      </c>
    </row>
    <row r="52" spans="1:10" ht="18.75" customHeight="1" x14ac:dyDescent="0.2">
      <c r="A52" s="1643"/>
      <c r="B52" s="1642" t="s">
        <v>392</v>
      </c>
      <c r="C52" s="1208"/>
      <c r="D52" s="1209"/>
      <c r="E52" s="1210"/>
      <c r="F52" s="1210"/>
      <c r="G52" s="1211"/>
      <c r="H52" s="2272">
        <f>+H53</f>
        <v>165681</v>
      </c>
      <c r="I52" s="2273">
        <f>+I53</f>
        <v>70222.759999999995</v>
      </c>
      <c r="J52" s="2278">
        <f>+I52*100/H52</f>
        <v>42.384316849850009</v>
      </c>
    </row>
    <row r="53" spans="1:10" ht="18.75" customHeight="1" x14ac:dyDescent="0.2">
      <c r="A53" s="1643">
        <v>1</v>
      </c>
      <c r="B53" s="1212" t="s">
        <v>207</v>
      </c>
      <c r="C53" s="1183" t="s">
        <v>32</v>
      </c>
      <c r="D53" s="1183" t="s">
        <v>111</v>
      </c>
      <c r="E53" s="1184" t="s">
        <v>208</v>
      </c>
      <c r="F53" s="1184"/>
      <c r="G53" s="1185"/>
      <c r="H53" s="1174">
        <v>165681</v>
      </c>
      <c r="I53" s="1213">
        <v>70222.759999999995</v>
      </c>
      <c r="J53" s="1171">
        <f>+I53*100/H53</f>
        <v>42.384316849850009</v>
      </c>
    </row>
    <row r="54" spans="1:10" ht="18.75" customHeight="1" x14ac:dyDescent="0.25">
      <c r="A54" s="1214"/>
      <c r="B54" s="1215" t="s">
        <v>391</v>
      </c>
      <c r="C54" s="1216"/>
      <c r="D54" s="1216"/>
      <c r="E54" s="1217"/>
      <c r="F54" s="1217"/>
      <c r="G54" s="1217"/>
      <c r="H54" s="2272">
        <f>SUM(H55:H64)</f>
        <v>157353</v>
      </c>
      <c r="I54" s="2273">
        <f>SUM(I55:I64)</f>
        <v>68952.569999999992</v>
      </c>
      <c r="J54" s="2273">
        <f>+I54*100/H54</f>
        <v>43.82030847838935</v>
      </c>
    </row>
    <row r="55" spans="1:10" ht="25.5" x14ac:dyDescent="0.2">
      <c r="A55" s="1649">
        <v>1</v>
      </c>
      <c r="B55" s="1650" t="s">
        <v>209</v>
      </c>
      <c r="C55" s="1651" t="s">
        <v>37</v>
      </c>
      <c r="D55" s="1651" t="s">
        <v>111</v>
      </c>
      <c r="E55" s="1218">
        <v>800</v>
      </c>
      <c r="F55" s="1218">
        <v>352</v>
      </c>
      <c r="G55" s="1218">
        <f>+F55/E55%</f>
        <v>44</v>
      </c>
      <c r="H55" s="1674">
        <v>40789</v>
      </c>
      <c r="I55" s="1213">
        <v>18789</v>
      </c>
      <c r="J55" s="1213">
        <f t="shared" ref="J55:J64" si="4">+I55*100/H55</f>
        <v>46.06388977420383</v>
      </c>
    </row>
    <row r="56" spans="1:10" ht="24" customHeight="1" x14ac:dyDescent="0.2">
      <c r="A56" s="1649"/>
      <c r="B56" s="1650" t="s">
        <v>210</v>
      </c>
      <c r="C56" s="1651" t="s">
        <v>37</v>
      </c>
      <c r="D56" s="1651" t="s">
        <v>211</v>
      </c>
      <c r="E56" s="1218">
        <v>24</v>
      </c>
      <c r="F56" s="1218">
        <v>10</v>
      </c>
      <c r="G56" s="1218">
        <f t="shared" ref="G56:G64" si="5">+F56/E56%</f>
        <v>41.666666666666671</v>
      </c>
      <c r="H56" s="1674">
        <v>20593</v>
      </c>
      <c r="I56" s="1219">
        <v>4593</v>
      </c>
      <c r="J56" s="1213">
        <f t="shared" si="4"/>
        <v>22.303695430486087</v>
      </c>
    </row>
    <row r="57" spans="1:10" ht="25.5" x14ac:dyDescent="0.2">
      <c r="A57" s="1649">
        <v>3</v>
      </c>
      <c r="B57" s="1650" t="s">
        <v>212</v>
      </c>
      <c r="C57" s="1651" t="s">
        <v>37</v>
      </c>
      <c r="D57" s="1651" t="s">
        <v>213</v>
      </c>
      <c r="E57" s="1218">
        <v>30</v>
      </c>
      <c r="F57" s="1218">
        <v>10</v>
      </c>
      <c r="G57" s="1218">
        <f t="shared" si="5"/>
        <v>33.333333333333336</v>
      </c>
      <c r="H57" s="1674">
        <v>9300</v>
      </c>
      <c r="I57" s="1219">
        <v>100</v>
      </c>
      <c r="J57" s="1213">
        <f t="shared" si="4"/>
        <v>1.075268817204301</v>
      </c>
    </row>
    <row r="58" spans="1:10" ht="18.75" customHeight="1" x14ac:dyDescent="0.2">
      <c r="A58" s="1649">
        <v>4</v>
      </c>
      <c r="B58" s="1650" t="s">
        <v>214</v>
      </c>
      <c r="C58" s="1651" t="s">
        <v>37</v>
      </c>
      <c r="D58" s="1651" t="s">
        <v>215</v>
      </c>
      <c r="E58" s="1218">
        <v>20</v>
      </c>
      <c r="F58" s="1218">
        <v>9</v>
      </c>
      <c r="G58" s="1218">
        <f t="shared" si="5"/>
        <v>45</v>
      </c>
      <c r="H58" s="1674">
        <v>27000</v>
      </c>
      <c r="I58" s="1219">
        <v>15000</v>
      </c>
      <c r="J58" s="1213">
        <f t="shared" si="4"/>
        <v>55.555555555555557</v>
      </c>
    </row>
    <row r="59" spans="1:10" ht="18.75" customHeight="1" x14ac:dyDescent="0.2">
      <c r="A59" s="1649">
        <v>5</v>
      </c>
      <c r="B59" s="1650" t="s">
        <v>216</v>
      </c>
      <c r="C59" s="1651" t="s">
        <v>37</v>
      </c>
      <c r="D59" s="1651" t="s">
        <v>217</v>
      </c>
      <c r="E59" s="1218">
        <v>100</v>
      </c>
      <c r="F59" s="1218">
        <v>51</v>
      </c>
      <c r="G59" s="1218">
        <f t="shared" si="5"/>
        <v>51</v>
      </c>
      <c r="H59" s="1674">
        <v>8000</v>
      </c>
      <c r="I59" s="1219">
        <v>7000</v>
      </c>
      <c r="J59" s="1213">
        <f t="shared" si="4"/>
        <v>87.5</v>
      </c>
    </row>
    <row r="60" spans="1:10" ht="24" customHeight="1" x14ac:dyDescent="0.2">
      <c r="A60" s="2494">
        <v>6</v>
      </c>
      <c r="B60" s="2495" t="s">
        <v>218</v>
      </c>
      <c r="C60" s="2496" t="s">
        <v>37</v>
      </c>
      <c r="D60" s="1651" t="s">
        <v>219</v>
      </c>
      <c r="E60" s="1218">
        <v>35</v>
      </c>
      <c r="F60" s="1218">
        <v>3</v>
      </c>
      <c r="G60" s="1218">
        <f t="shared" si="5"/>
        <v>8.5714285714285712</v>
      </c>
      <c r="H60" s="1674">
        <v>4157</v>
      </c>
      <c r="I60" s="1219">
        <v>69</v>
      </c>
      <c r="J60" s="1213">
        <f t="shared" si="4"/>
        <v>1.6598508539812364</v>
      </c>
    </row>
    <row r="61" spans="1:10" ht="15.75" customHeight="1" x14ac:dyDescent="0.2">
      <c r="A61" s="2494"/>
      <c r="B61" s="2495"/>
      <c r="C61" s="2496"/>
      <c r="D61" s="1651" t="s">
        <v>220</v>
      </c>
      <c r="E61" s="1218">
        <v>43</v>
      </c>
      <c r="F61" s="1218">
        <v>51</v>
      </c>
      <c r="G61" s="1218">
        <f>+F61/E61%</f>
        <v>118.6046511627907</v>
      </c>
      <c r="H61" s="1674">
        <v>3500</v>
      </c>
      <c r="I61" s="1219">
        <v>2500</v>
      </c>
      <c r="J61" s="1213">
        <f t="shared" si="4"/>
        <v>71.428571428571431</v>
      </c>
    </row>
    <row r="62" spans="1:10" ht="18.75" customHeight="1" x14ac:dyDescent="0.2">
      <c r="A62" s="2494"/>
      <c r="B62" s="2495"/>
      <c r="C62" s="2496"/>
      <c r="D62" s="1651" t="s">
        <v>221</v>
      </c>
      <c r="E62" s="1218">
        <v>40</v>
      </c>
      <c r="F62" s="1218">
        <v>19</v>
      </c>
      <c r="G62" s="1218">
        <f t="shared" si="5"/>
        <v>47.5</v>
      </c>
      <c r="H62" s="1674">
        <v>4919</v>
      </c>
      <c r="I62" s="1219">
        <v>2459</v>
      </c>
      <c r="J62" s="1213">
        <f t="shared" si="4"/>
        <v>49.989835332384629</v>
      </c>
    </row>
    <row r="63" spans="1:10" ht="18.75" customHeight="1" x14ac:dyDescent="0.2">
      <c r="A63" s="1220">
        <v>7</v>
      </c>
      <c r="B63" s="1221" t="s">
        <v>483</v>
      </c>
      <c r="C63" s="1650"/>
      <c r="D63" s="1651" t="s">
        <v>38</v>
      </c>
      <c r="E63" s="1218">
        <v>1</v>
      </c>
      <c r="F63" s="1218">
        <v>1</v>
      </c>
      <c r="G63" s="1218">
        <f t="shared" si="5"/>
        <v>100</v>
      </c>
      <c r="H63" s="1229">
        <v>37248</v>
      </c>
      <c r="I63" s="1223">
        <v>17818.87</v>
      </c>
      <c r="J63" s="1213">
        <f t="shared" si="4"/>
        <v>47.838461125429554</v>
      </c>
    </row>
    <row r="64" spans="1:10" ht="18.75" customHeight="1" x14ac:dyDescent="0.2">
      <c r="A64" s="1220">
        <v>8</v>
      </c>
      <c r="B64" s="1221" t="s">
        <v>602</v>
      </c>
      <c r="C64" s="1650"/>
      <c r="D64" s="1651" t="s">
        <v>38</v>
      </c>
      <c r="E64" s="1218">
        <v>1</v>
      </c>
      <c r="F64" s="1218">
        <v>1</v>
      </c>
      <c r="G64" s="1218">
        <f t="shared" si="5"/>
        <v>100</v>
      </c>
      <c r="H64" s="1229">
        <v>1847</v>
      </c>
      <c r="I64" s="1295">
        <v>623.70000000000005</v>
      </c>
      <c r="J64" s="1213">
        <f t="shared" si="4"/>
        <v>33.768272874932329</v>
      </c>
    </row>
    <row r="65" spans="1:10" ht="18.75" customHeight="1" x14ac:dyDescent="0.25">
      <c r="A65" s="1224"/>
      <c r="B65" s="1215" t="s">
        <v>390</v>
      </c>
      <c r="C65" s="1225"/>
      <c r="D65" s="1226"/>
      <c r="E65" s="1227"/>
      <c r="F65" s="1227"/>
      <c r="G65" s="1227"/>
      <c r="H65" s="2272">
        <f>SUM(H66:H72)</f>
        <v>317717</v>
      </c>
      <c r="I65" s="2273">
        <f>SUM(I66:I72)</f>
        <v>167903.94</v>
      </c>
      <c r="J65" s="2273">
        <v>52.84</v>
      </c>
    </row>
    <row r="66" spans="1:10" ht="18.75" customHeight="1" x14ac:dyDescent="0.2">
      <c r="A66" s="1187">
        <v>1</v>
      </c>
      <c r="B66" s="1228" t="s">
        <v>222</v>
      </c>
      <c r="C66" s="1177" t="s">
        <v>32</v>
      </c>
      <c r="D66" s="1176" t="s">
        <v>223</v>
      </c>
      <c r="E66" s="1229">
        <v>1665</v>
      </c>
      <c r="F66" s="1229">
        <v>1665</v>
      </c>
      <c r="G66" s="1213">
        <f>+F66/E66*100</f>
        <v>100</v>
      </c>
      <c r="H66" s="1229">
        <v>8952</v>
      </c>
      <c r="I66" s="1213">
        <v>6104.6</v>
      </c>
      <c r="J66" s="1213">
        <f>+I66/H66*100</f>
        <v>68.192582663092054</v>
      </c>
    </row>
    <row r="67" spans="1:10" ht="18.75" customHeight="1" x14ac:dyDescent="0.2">
      <c r="A67" s="1187">
        <v>2</v>
      </c>
      <c r="B67" s="1228" t="s">
        <v>224</v>
      </c>
      <c r="C67" s="1177" t="s">
        <v>32</v>
      </c>
      <c r="D67" s="1176" t="s">
        <v>225</v>
      </c>
      <c r="E67" s="1229">
        <v>171</v>
      </c>
      <c r="F67" s="1229">
        <v>171</v>
      </c>
      <c r="G67" s="1213">
        <f t="shared" ref="G67:G72" si="6">+F67/E67*100</f>
        <v>100</v>
      </c>
      <c r="H67" s="1229">
        <v>8560</v>
      </c>
      <c r="I67" s="1213">
        <v>5555</v>
      </c>
      <c r="J67" s="1213">
        <f t="shared" ref="J67:J72" si="7">+I67/H67*100</f>
        <v>64.894859813084111</v>
      </c>
    </row>
    <row r="68" spans="1:10" ht="39.75" customHeight="1" x14ac:dyDescent="0.2">
      <c r="A68" s="1187">
        <v>3</v>
      </c>
      <c r="B68" s="1228" t="s">
        <v>226</v>
      </c>
      <c r="C68" s="1177" t="s">
        <v>32</v>
      </c>
      <c r="D68" s="1177" t="s">
        <v>227</v>
      </c>
      <c r="E68" s="1229">
        <v>3356</v>
      </c>
      <c r="F68" s="1229">
        <v>3356</v>
      </c>
      <c r="G68" s="1213">
        <f t="shared" si="6"/>
        <v>100</v>
      </c>
      <c r="H68" s="1229">
        <v>7583</v>
      </c>
      <c r="I68" s="1213">
        <v>4133.24</v>
      </c>
      <c r="J68" s="1213">
        <f t="shared" si="7"/>
        <v>54.506659633390477</v>
      </c>
    </row>
    <row r="69" spans="1:10" ht="18.75" customHeight="1" x14ac:dyDescent="0.2">
      <c r="A69" s="1187">
        <v>4</v>
      </c>
      <c r="B69" s="1228" t="s">
        <v>228</v>
      </c>
      <c r="C69" s="1177" t="s">
        <v>32</v>
      </c>
      <c r="D69" s="1176" t="s">
        <v>229</v>
      </c>
      <c r="E69" s="1229">
        <v>11</v>
      </c>
      <c r="F69" s="1229">
        <v>11</v>
      </c>
      <c r="G69" s="1213">
        <f t="shared" si="6"/>
        <v>100</v>
      </c>
      <c r="H69" s="1229">
        <v>34528</v>
      </c>
      <c r="I69" s="1213">
        <v>10387</v>
      </c>
      <c r="J69" s="1213">
        <f t="shared" si="7"/>
        <v>30.082831325301207</v>
      </c>
    </row>
    <row r="70" spans="1:10" ht="18.75" customHeight="1" x14ac:dyDescent="0.2">
      <c r="A70" s="1187">
        <v>5</v>
      </c>
      <c r="B70" s="1228" t="s">
        <v>230</v>
      </c>
      <c r="C70" s="1177" t="s">
        <v>32</v>
      </c>
      <c r="D70" s="1176" t="s">
        <v>223</v>
      </c>
      <c r="E70" s="1229" t="s">
        <v>208</v>
      </c>
      <c r="F70" s="1229" t="s">
        <v>208</v>
      </c>
      <c r="G70" s="1213">
        <v>0</v>
      </c>
      <c r="H70" s="1229">
        <v>13877</v>
      </c>
      <c r="I70" s="1213">
        <v>7850</v>
      </c>
      <c r="J70" s="1213">
        <f t="shared" si="7"/>
        <v>56.568422569719679</v>
      </c>
    </row>
    <row r="71" spans="1:10" ht="18.75" customHeight="1" x14ac:dyDescent="0.2">
      <c r="A71" s="1187">
        <v>6</v>
      </c>
      <c r="B71" s="1228" t="s">
        <v>231</v>
      </c>
      <c r="C71" s="1177" t="s">
        <v>32</v>
      </c>
      <c r="D71" s="1176" t="s">
        <v>232</v>
      </c>
      <c r="E71" s="1229">
        <v>20</v>
      </c>
      <c r="F71" s="1229">
        <v>20</v>
      </c>
      <c r="G71" s="1213">
        <f t="shared" si="6"/>
        <v>100</v>
      </c>
      <c r="H71" s="1229">
        <v>12377</v>
      </c>
      <c r="I71" s="1213">
        <v>6150</v>
      </c>
      <c r="J71" s="1213">
        <f t="shared" si="7"/>
        <v>49.688939161347662</v>
      </c>
    </row>
    <row r="72" spans="1:10" ht="18.75" customHeight="1" x14ac:dyDescent="0.2">
      <c r="A72" s="1187">
        <v>7</v>
      </c>
      <c r="B72" s="1228" t="s">
        <v>582</v>
      </c>
      <c r="C72" s="1177" t="s">
        <v>32</v>
      </c>
      <c r="D72" s="1176" t="s">
        <v>485</v>
      </c>
      <c r="E72" s="1229">
        <v>8</v>
      </c>
      <c r="F72" s="1229">
        <v>8</v>
      </c>
      <c r="G72" s="1213">
        <f t="shared" si="6"/>
        <v>100</v>
      </c>
      <c r="H72" s="1229">
        <v>231840</v>
      </c>
      <c r="I72" s="1213">
        <v>127724.1</v>
      </c>
      <c r="J72" s="1213">
        <f t="shared" si="7"/>
        <v>55.091485507246375</v>
      </c>
    </row>
    <row r="73" spans="1:10" ht="18.75" customHeight="1" x14ac:dyDescent="0.25">
      <c r="A73" s="1224"/>
      <c r="B73" s="1215" t="s">
        <v>389</v>
      </c>
      <c r="C73" s="1230"/>
      <c r="D73" s="1176"/>
      <c r="E73" s="1170"/>
      <c r="F73" s="1170"/>
      <c r="G73" s="1170"/>
      <c r="H73" s="2272">
        <f>SUM(H74:H79)</f>
        <v>98668</v>
      </c>
      <c r="I73" s="2273">
        <f>SUM(I74:I79)</f>
        <v>42666</v>
      </c>
      <c r="J73" s="1156">
        <f>+I73/H73*100</f>
        <v>43.241983216443018</v>
      </c>
    </row>
    <row r="74" spans="1:10" ht="18.75" customHeight="1" x14ac:dyDescent="0.2">
      <c r="A74" s="1187">
        <v>1</v>
      </c>
      <c r="B74" s="1231" t="s">
        <v>233</v>
      </c>
      <c r="C74" s="1230" t="s">
        <v>37</v>
      </c>
      <c r="D74" s="1176" t="s">
        <v>160</v>
      </c>
      <c r="E74" s="1229">
        <v>3100</v>
      </c>
      <c r="F74" s="1229">
        <v>1860</v>
      </c>
      <c r="G74" s="1229">
        <v>60</v>
      </c>
      <c r="H74" s="1229">
        <v>33500</v>
      </c>
      <c r="I74" s="1295">
        <v>16082</v>
      </c>
      <c r="J74" s="1229">
        <v>60</v>
      </c>
    </row>
    <row r="75" spans="1:10" ht="18.75" customHeight="1" x14ac:dyDescent="0.2">
      <c r="A75" s="1187">
        <v>2</v>
      </c>
      <c r="B75" s="1231" t="s">
        <v>234</v>
      </c>
      <c r="C75" s="1230" t="s">
        <v>37</v>
      </c>
      <c r="D75" s="1176" t="s">
        <v>75</v>
      </c>
      <c r="E75" s="1232">
        <v>400</v>
      </c>
      <c r="F75" s="1232">
        <v>240</v>
      </c>
      <c r="G75" s="1232">
        <v>60</v>
      </c>
      <c r="H75" s="1229">
        <v>4218</v>
      </c>
      <c r="I75" s="1295">
        <v>2109</v>
      </c>
      <c r="J75" s="1229">
        <v>60</v>
      </c>
    </row>
    <row r="76" spans="1:10" ht="18.75" customHeight="1" x14ac:dyDescent="0.2">
      <c r="A76" s="1187">
        <v>3</v>
      </c>
      <c r="B76" s="1231" t="s">
        <v>235</v>
      </c>
      <c r="C76" s="1230" t="s">
        <v>37</v>
      </c>
      <c r="D76" s="1176" t="s">
        <v>1990</v>
      </c>
      <c r="E76" s="1232">
        <v>3100</v>
      </c>
      <c r="F76" s="1232">
        <v>1860</v>
      </c>
      <c r="G76" s="1232">
        <v>60</v>
      </c>
      <c r="H76" s="1229">
        <v>15133</v>
      </c>
      <c r="I76" s="1295">
        <v>5566.5</v>
      </c>
      <c r="J76" s="1229">
        <v>60</v>
      </c>
    </row>
    <row r="77" spans="1:10" ht="18.75" customHeight="1" x14ac:dyDescent="0.2">
      <c r="A77" s="1187">
        <v>4</v>
      </c>
      <c r="B77" s="1231" t="s">
        <v>236</v>
      </c>
      <c r="C77" s="1230" t="s">
        <v>37</v>
      </c>
      <c r="D77" s="1176" t="s">
        <v>237</v>
      </c>
      <c r="E77" s="1232">
        <v>7000</v>
      </c>
      <c r="F77" s="1232">
        <v>4200</v>
      </c>
      <c r="G77" s="1232">
        <v>60</v>
      </c>
      <c r="H77" s="1229">
        <v>15033</v>
      </c>
      <c r="I77" s="1295">
        <v>4516.5</v>
      </c>
      <c r="J77" s="1229">
        <v>60</v>
      </c>
    </row>
    <row r="78" spans="1:10" ht="18.75" customHeight="1" x14ac:dyDescent="0.2">
      <c r="A78" s="1187">
        <v>5</v>
      </c>
      <c r="B78" s="1231" t="s">
        <v>238</v>
      </c>
      <c r="C78" s="1230" t="s">
        <v>37</v>
      </c>
      <c r="D78" s="1176" t="s">
        <v>135</v>
      </c>
      <c r="E78" s="1232">
        <v>48</v>
      </c>
      <c r="F78" s="1232">
        <v>29</v>
      </c>
      <c r="G78" s="1232">
        <v>60</v>
      </c>
      <c r="H78" s="1229">
        <v>15234</v>
      </c>
      <c r="I78" s="1295">
        <v>6617</v>
      </c>
      <c r="J78" s="1229">
        <v>60</v>
      </c>
    </row>
    <row r="79" spans="1:10" ht="18.75" customHeight="1" x14ac:dyDescent="0.2">
      <c r="A79" s="1187">
        <v>6</v>
      </c>
      <c r="B79" s="1231" t="s">
        <v>239</v>
      </c>
      <c r="C79" s="1230" t="s">
        <v>37</v>
      </c>
      <c r="D79" s="1176" t="s">
        <v>240</v>
      </c>
      <c r="E79" s="1232">
        <v>20</v>
      </c>
      <c r="F79" s="1232">
        <v>12</v>
      </c>
      <c r="G79" s="1232">
        <v>60</v>
      </c>
      <c r="H79" s="1229">
        <v>15550</v>
      </c>
      <c r="I79" s="1295">
        <v>7775</v>
      </c>
      <c r="J79" s="1229">
        <v>60</v>
      </c>
    </row>
    <row r="80" spans="1:10" ht="18.75" customHeight="1" x14ac:dyDescent="0.2">
      <c r="A80" s="2500" t="s">
        <v>387</v>
      </c>
      <c r="B80" s="2501"/>
      <c r="C80" s="1233"/>
      <c r="D80" s="1176"/>
      <c r="E80" s="1232"/>
      <c r="F80" s="1232"/>
      <c r="G80" s="1232"/>
      <c r="H80" s="2276">
        <f>+H81+H92+H106+H116+H125+H145+H166</f>
        <v>12482396</v>
      </c>
      <c r="I80" s="1234">
        <f>+I81+I92+I106+I116+I125+I145+I166</f>
        <v>5974464.0080958847</v>
      </c>
      <c r="J80" s="1156">
        <f>+I80/H80*100</f>
        <v>47.863118652027097</v>
      </c>
    </row>
    <row r="81" spans="1:10" ht="18.75" customHeight="1" x14ac:dyDescent="0.2">
      <c r="A81" s="1235"/>
      <c r="B81" s="1159" t="s">
        <v>388</v>
      </c>
      <c r="C81" s="1236"/>
      <c r="D81" s="1193"/>
      <c r="E81" s="1194"/>
      <c r="F81" s="1194"/>
      <c r="G81" s="1194"/>
      <c r="H81" s="1164">
        <f>SUM(H82:H91)</f>
        <v>8130507</v>
      </c>
      <c r="I81" s="1238">
        <f>SUM(I82:I91)</f>
        <v>3893127.87</v>
      </c>
      <c r="J81" s="1239">
        <f t="shared" ref="J81:J105" si="8">+I81/H81*100</f>
        <v>47.882965601038165</v>
      </c>
    </row>
    <row r="82" spans="1:10" ht="18.75" customHeight="1" x14ac:dyDescent="0.2">
      <c r="A82" s="1643">
        <v>1</v>
      </c>
      <c r="B82" s="1240" t="s">
        <v>2038</v>
      </c>
      <c r="C82" s="1236" t="s">
        <v>37</v>
      </c>
      <c r="D82" s="1647" t="s">
        <v>41</v>
      </c>
      <c r="E82" s="1241">
        <v>2500</v>
      </c>
      <c r="F82" s="1241">
        <v>1010</v>
      </c>
      <c r="G82" s="1242">
        <f>+F82/E82*100</f>
        <v>40.400000000000006</v>
      </c>
      <c r="H82" s="1675">
        <v>605</v>
      </c>
      <c r="I82" s="1219">
        <v>604.87</v>
      </c>
      <c r="J82" s="1242">
        <f t="shared" si="8"/>
        <v>99.978512396694214</v>
      </c>
    </row>
    <row r="83" spans="1:10" ht="18.75" customHeight="1" x14ac:dyDescent="0.2">
      <c r="A83" s="1643">
        <v>2</v>
      </c>
      <c r="B83" s="1243" t="s">
        <v>1991</v>
      </c>
      <c r="C83" s="1236" t="s">
        <v>37</v>
      </c>
      <c r="D83" s="1647" t="s">
        <v>41</v>
      </c>
      <c r="E83" s="1198">
        <v>1500</v>
      </c>
      <c r="F83" s="1198">
        <v>800</v>
      </c>
      <c r="G83" s="1242">
        <f t="shared" ref="G83:G91" si="9">+F83/E83*100</f>
        <v>53.333333333333336</v>
      </c>
      <c r="H83" s="1275">
        <v>0</v>
      </c>
      <c r="I83" s="1219">
        <v>0</v>
      </c>
      <c r="J83" s="1242">
        <v>0</v>
      </c>
    </row>
    <row r="84" spans="1:10" ht="18.75" customHeight="1" x14ac:dyDescent="0.2">
      <c r="A84" s="1643">
        <v>3</v>
      </c>
      <c r="B84" s="1243" t="s">
        <v>2021</v>
      </c>
      <c r="C84" s="1236" t="s">
        <v>37</v>
      </c>
      <c r="D84" s="1647" t="s">
        <v>41</v>
      </c>
      <c r="E84" s="1198">
        <v>3000</v>
      </c>
      <c r="F84" s="1198">
        <v>700</v>
      </c>
      <c r="G84" s="1242">
        <f t="shared" si="9"/>
        <v>23.333333333333332</v>
      </c>
      <c r="H84" s="1275">
        <v>0</v>
      </c>
      <c r="I84" s="1219">
        <v>0</v>
      </c>
      <c r="J84" s="1242">
        <v>0</v>
      </c>
    </row>
    <row r="85" spans="1:10" ht="18.75" customHeight="1" x14ac:dyDescent="0.2">
      <c r="A85" s="1643">
        <v>4</v>
      </c>
      <c r="B85" s="1243" t="s">
        <v>2725</v>
      </c>
      <c r="C85" s="1236" t="s">
        <v>37</v>
      </c>
      <c r="D85" s="1647" t="s">
        <v>41</v>
      </c>
      <c r="E85" s="1198">
        <v>5000</v>
      </c>
      <c r="F85" s="1198">
        <v>1600</v>
      </c>
      <c r="G85" s="1242">
        <f t="shared" si="9"/>
        <v>32</v>
      </c>
      <c r="H85" s="1275">
        <v>3000</v>
      </c>
      <c r="I85" s="1219">
        <v>3000</v>
      </c>
      <c r="J85" s="1242">
        <f t="shared" si="8"/>
        <v>100</v>
      </c>
    </row>
    <row r="86" spans="1:10" ht="18.75" customHeight="1" x14ac:dyDescent="0.2">
      <c r="A86" s="1643">
        <v>5</v>
      </c>
      <c r="B86" s="1243" t="s">
        <v>2789</v>
      </c>
      <c r="C86" s="1236" t="s">
        <v>37</v>
      </c>
      <c r="D86" s="1647" t="s">
        <v>41</v>
      </c>
      <c r="E86" s="1198">
        <v>5000</v>
      </c>
      <c r="F86" s="1198">
        <v>1600</v>
      </c>
      <c r="G86" s="1242">
        <f t="shared" si="9"/>
        <v>32</v>
      </c>
      <c r="H86" s="1275">
        <v>360</v>
      </c>
      <c r="I86" s="1219">
        <v>360</v>
      </c>
      <c r="J86" s="1242">
        <f t="shared" si="8"/>
        <v>100</v>
      </c>
    </row>
    <row r="87" spans="1:10" ht="18.75" customHeight="1" x14ac:dyDescent="0.2">
      <c r="A87" s="1643">
        <v>6</v>
      </c>
      <c r="B87" s="1243" t="s">
        <v>2726</v>
      </c>
      <c r="C87" s="1236" t="s">
        <v>37</v>
      </c>
      <c r="D87" s="1647" t="s">
        <v>41</v>
      </c>
      <c r="E87" s="1198">
        <v>500</v>
      </c>
      <c r="F87" s="1198">
        <v>2</v>
      </c>
      <c r="G87" s="1242">
        <f t="shared" si="9"/>
        <v>0.4</v>
      </c>
      <c r="H87" s="1275">
        <v>9000</v>
      </c>
      <c r="I87" s="1219">
        <v>800</v>
      </c>
      <c r="J87" s="1242">
        <f t="shared" si="8"/>
        <v>8.8888888888888893</v>
      </c>
    </row>
    <row r="88" spans="1:10" ht="18.75" customHeight="1" x14ac:dyDescent="0.2">
      <c r="A88" s="1643">
        <v>7</v>
      </c>
      <c r="B88" s="1243" t="s">
        <v>2727</v>
      </c>
      <c r="C88" s="1236" t="s">
        <v>37</v>
      </c>
      <c r="D88" s="1647" t="s">
        <v>41</v>
      </c>
      <c r="E88" s="1198">
        <v>500</v>
      </c>
      <c r="F88" s="1198">
        <v>65</v>
      </c>
      <c r="G88" s="1242">
        <f t="shared" si="9"/>
        <v>13</v>
      </c>
      <c r="H88" s="1275">
        <v>0</v>
      </c>
      <c r="I88" s="1219">
        <v>0</v>
      </c>
      <c r="J88" s="1242">
        <v>0</v>
      </c>
    </row>
    <row r="89" spans="1:10" ht="18.75" customHeight="1" x14ac:dyDescent="0.2">
      <c r="A89" s="1643">
        <v>8</v>
      </c>
      <c r="B89" s="1243" t="s">
        <v>2728</v>
      </c>
      <c r="C89" s="1236" t="s">
        <v>37</v>
      </c>
      <c r="D89" s="1647" t="s">
        <v>41</v>
      </c>
      <c r="E89" s="1198">
        <v>2000</v>
      </c>
      <c r="F89" s="1198">
        <v>4</v>
      </c>
      <c r="G89" s="1242">
        <f t="shared" si="9"/>
        <v>0.2</v>
      </c>
      <c r="H89" s="1275">
        <v>61598</v>
      </c>
      <c r="I89" s="1219">
        <f>2303+53912</f>
        <v>56215</v>
      </c>
      <c r="J89" s="1242">
        <f t="shared" si="8"/>
        <v>91.261079905191721</v>
      </c>
    </row>
    <row r="90" spans="1:10" ht="18.75" customHeight="1" x14ac:dyDescent="0.2">
      <c r="A90" s="1643">
        <v>9</v>
      </c>
      <c r="B90" s="1243" t="s">
        <v>2729</v>
      </c>
      <c r="C90" s="1236" t="s">
        <v>37</v>
      </c>
      <c r="D90" s="1647" t="s">
        <v>41</v>
      </c>
      <c r="E90" s="1198">
        <v>1000</v>
      </c>
      <c r="F90" s="1198">
        <v>30</v>
      </c>
      <c r="G90" s="1242">
        <f t="shared" si="9"/>
        <v>3</v>
      </c>
      <c r="H90" s="1275">
        <v>0</v>
      </c>
      <c r="I90" s="1219">
        <v>0</v>
      </c>
      <c r="J90" s="1242">
        <v>0</v>
      </c>
    </row>
    <row r="91" spans="1:10" ht="18.75" customHeight="1" x14ac:dyDescent="0.2">
      <c r="A91" s="1643">
        <v>10</v>
      </c>
      <c r="B91" s="1243" t="s">
        <v>1992</v>
      </c>
      <c r="C91" s="1236" t="s">
        <v>37</v>
      </c>
      <c r="D91" s="1647" t="s">
        <v>41</v>
      </c>
      <c r="E91" s="1198">
        <v>3000</v>
      </c>
      <c r="F91" s="1198">
        <v>1500</v>
      </c>
      <c r="G91" s="1242">
        <f t="shared" si="9"/>
        <v>50</v>
      </c>
      <c r="H91" s="1275">
        <v>8055944</v>
      </c>
      <c r="I91" s="1219">
        <v>3832148</v>
      </c>
      <c r="J91" s="1242">
        <f t="shared" si="8"/>
        <v>47.569198594230542</v>
      </c>
    </row>
    <row r="92" spans="1:10" ht="18.75" customHeight="1" x14ac:dyDescent="0.2">
      <c r="A92" s="1243"/>
      <c r="B92" s="1244" t="s">
        <v>1993</v>
      </c>
      <c r="C92" s="1245"/>
      <c r="D92" s="1202"/>
      <c r="E92" s="1246"/>
      <c r="F92" s="1247"/>
      <c r="G92" s="1248"/>
      <c r="H92" s="1164">
        <f>SUM(H93:H105)</f>
        <v>67682</v>
      </c>
      <c r="I92" s="1238">
        <f>SUM(I93:I105)</f>
        <v>26036</v>
      </c>
      <c r="J92" s="1239">
        <f t="shared" si="8"/>
        <v>38.468130374397916</v>
      </c>
    </row>
    <row r="93" spans="1:10" ht="18.75" customHeight="1" x14ac:dyDescent="0.2">
      <c r="A93" s="1187">
        <v>1</v>
      </c>
      <c r="B93" s="1228" t="s">
        <v>2305</v>
      </c>
      <c r="C93" s="1233" t="s">
        <v>37</v>
      </c>
      <c r="D93" s="1647" t="s">
        <v>41</v>
      </c>
      <c r="E93" s="1203">
        <v>2000</v>
      </c>
      <c r="F93" s="1203">
        <v>1000</v>
      </c>
      <c r="G93" s="1242">
        <f t="shared" ref="G93:G105" si="10">+F93/E93*100</f>
        <v>50</v>
      </c>
      <c r="H93" s="1229">
        <v>16984</v>
      </c>
      <c r="I93" s="1249">
        <v>7492</v>
      </c>
      <c r="J93" s="1242">
        <f t="shared" si="8"/>
        <v>44.112105511069245</v>
      </c>
    </row>
    <row r="94" spans="1:10" ht="18.75" customHeight="1" x14ac:dyDescent="0.2">
      <c r="A94" s="1187">
        <v>2</v>
      </c>
      <c r="B94" s="1228" t="s">
        <v>2713</v>
      </c>
      <c r="C94" s="1233" t="s">
        <v>37</v>
      </c>
      <c r="D94" s="1647" t="s">
        <v>41</v>
      </c>
      <c r="E94" s="1203">
        <v>1890</v>
      </c>
      <c r="F94" s="1203">
        <v>930</v>
      </c>
      <c r="G94" s="1242">
        <f t="shared" si="10"/>
        <v>49.206349206349202</v>
      </c>
      <c r="H94" s="1229">
        <v>3000</v>
      </c>
      <c r="I94" s="1249">
        <v>1500</v>
      </c>
      <c r="J94" s="1242">
        <f t="shared" si="8"/>
        <v>50</v>
      </c>
    </row>
    <row r="95" spans="1:10" ht="18.75" customHeight="1" x14ac:dyDescent="0.2">
      <c r="A95" s="1187">
        <v>3</v>
      </c>
      <c r="B95" s="1228" t="s">
        <v>2714</v>
      </c>
      <c r="C95" s="1233" t="s">
        <v>37</v>
      </c>
      <c r="D95" s="1647" t="s">
        <v>41</v>
      </c>
      <c r="E95" s="1203">
        <v>1500</v>
      </c>
      <c r="F95" s="1203">
        <v>597</v>
      </c>
      <c r="G95" s="1242">
        <f t="shared" si="10"/>
        <v>39.800000000000004</v>
      </c>
      <c r="H95" s="1229">
        <v>3000</v>
      </c>
      <c r="I95" s="1249">
        <v>1645</v>
      </c>
      <c r="J95" s="1242">
        <f t="shared" si="8"/>
        <v>54.833333333333336</v>
      </c>
    </row>
    <row r="96" spans="1:10" ht="18.75" customHeight="1" x14ac:dyDescent="0.2">
      <c r="A96" s="1187">
        <v>4</v>
      </c>
      <c r="B96" s="1228" t="s">
        <v>2715</v>
      </c>
      <c r="C96" s="1233" t="s">
        <v>37</v>
      </c>
      <c r="D96" s="1647" t="s">
        <v>41</v>
      </c>
      <c r="E96" s="1203">
        <v>2056</v>
      </c>
      <c r="F96" s="1203">
        <v>1028</v>
      </c>
      <c r="G96" s="1242">
        <f t="shared" si="10"/>
        <v>50</v>
      </c>
      <c r="H96" s="1229">
        <v>4000</v>
      </c>
      <c r="I96" s="1249">
        <v>1500</v>
      </c>
      <c r="J96" s="1242">
        <f t="shared" si="8"/>
        <v>37.5</v>
      </c>
    </row>
    <row r="97" spans="1:10" ht="18.75" customHeight="1" x14ac:dyDescent="0.2">
      <c r="A97" s="1187">
        <v>5</v>
      </c>
      <c r="B97" s="1228" t="s">
        <v>2716</v>
      </c>
      <c r="C97" s="1233" t="s">
        <v>37</v>
      </c>
      <c r="D97" s="1647" t="s">
        <v>41</v>
      </c>
      <c r="E97" s="1203">
        <v>6000</v>
      </c>
      <c r="F97" s="1203">
        <v>597</v>
      </c>
      <c r="G97" s="1242">
        <f t="shared" si="10"/>
        <v>9.9500000000000011</v>
      </c>
      <c r="H97" s="1229">
        <v>4000</v>
      </c>
      <c r="I97" s="1249">
        <v>2000</v>
      </c>
      <c r="J97" s="1242">
        <f t="shared" si="8"/>
        <v>50</v>
      </c>
    </row>
    <row r="98" spans="1:10" ht="18.75" customHeight="1" x14ac:dyDescent="0.2">
      <c r="A98" s="1187">
        <v>6</v>
      </c>
      <c r="B98" s="1228" t="s">
        <v>2717</v>
      </c>
      <c r="C98" s="1233" t="s">
        <v>37</v>
      </c>
      <c r="D98" s="1647" t="s">
        <v>41</v>
      </c>
      <c r="E98" s="1203">
        <v>2100</v>
      </c>
      <c r="F98" s="1203">
        <v>1028</v>
      </c>
      <c r="G98" s="1242">
        <f t="shared" si="10"/>
        <v>48.952380952380956</v>
      </c>
      <c r="H98" s="1229">
        <v>7600</v>
      </c>
      <c r="I98" s="1249">
        <v>2700</v>
      </c>
      <c r="J98" s="1242">
        <f t="shared" si="8"/>
        <v>35.526315789473685</v>
      </c>
    </row>
    <row r="99" spans="1:10" ht="18.75" customHeight="1" x14ac:dyDescent="0.2">
      <c r="A99" s="1187">
        <v>7</v>
      </c>
      <c r="B99" s="1228" t="s">
        <v>2718</v>
      </c>
      <c r="C99" s="1233" t="s">
        <v>37</v>
      </c>
      <c r="D99" s="1647" t="s">
        <v>41</v>
      </c>
      <c r="E99" s="1203">
        <v>100</v>
      </c>
      <c r="F99" s="1203">
        <v>49</v>
      </c>
      <c r="G99" s="1242">
        <f t="shared" si="10"/>
        <v>49</v>
      </c>
      <c r="H99" s="1229">
        <v>298</v>
      </c>
      <c r="I99" s="1249">
        <v>149</v>
      </c>
      <c r="J99" s="1242">
        <f t="shared" si="8"/>
        <v>50</v>
      </c>
    </row>
    <row r="100" spans="1:10" ht="18.75" customHeight="1" x14ac:dyDescent="0.2">
      <c r="A100" s="1187">
        <v>8</v>
      </c>
      <c r="B100" s="1228" t="s">
        <v>2719</v>
      </c>
      <c r="C100" s="1233" t="s">
        <v>37</v>
      </c>
      <c r="D100" s="1647" t="s">
        <v>41</v>
      </c>
      <c r="E100" s="1203">
        <v>32</v>
      </c>
      <c r="F100" s="1203">
        <v>16</v>
      </c>
      <c r="G100" s="1242">
        <f t="shared" si="10"/>
        <v>50</v>
      </c>
      <c r="H100" s="1229">
        <v>7700</v>
      </c>
      <c r="I100" s="1249">
        <v>1850</v>
      </c>
      <c r="J100" s="1242">
        <f t="shared" si="8"/>
        <v>24.025974025974026</v>
      </c>
    </row>
    <row r="101" spans="1:10" ht="18.75" customHeight="1" x14ac:dyDescent="0.2">
      <c r="A101" s="1187">
        <v>9</v>
      </c>
      <c r="B101" s="1228" t="s">
        <v>2720</v>
      </c>
      <c r="C101" s="1233" t="s">
        <v>37</v>
      </c>
      <c r="D101" s="1647" t="s">
        <v>41</v>
      </c>
      <c r="E101" s="1203">
        <v>12</v>
      </c>
      <c r="F101" s="1203">
        <v>6</v>
      </c>
      <c r="G101" s="1242">
        <f t="shared" si="10"/>
        <v>50</v>
      </c>
      <c r="H101" s="1229">
        <v>7600</v>
      </c>
      <c r="I101" s="1249">
        <v>1850</v>
      </c>
      <c r="J101" s="1242">
        <f t="shared" si="8"/>
        <v>24.342105263157894</v>
      </c>
    </row>
    <row r="102" spans="1:10" ht="18.75" customHeight="1" x14ac:dyDescent="0.2">
      <c r="A102" s="1187">
        <v>10</v>
      </c>
      <c r="B102" s="1228" t="s">
        <v>1994</v>
      </c>
      <c r="C102" s="1233" t="s">
        <v>37</v>
      </c>
      <c r="D102" s="1647" t="s">
        <v>41</v>
      </c>
      <c r="E102" s="1203">
        <v>3000</v>
      </c>
      <c r="F102" s="1203">
        <v>1589</v>
      </c>
      <c r="G102" s="1242">
        <f t="shared" si="10"/>
        <v>52.966666666666661</v>
      </c>
      <c r="H102" s="1229">
        <v>3000</v>
      </c>
      <c r="I102" s="1249">
        <v>1500</v>
      </c>
      <c r="J102" s="1242">
        <f t="shared" si="8"/>
        <v>50</v>
      </c>
    </row>
    <row r="103" spans="1:10" ht="26.25" customHeight="1" x14ac:dyDescent="0.2">
      <c r="A103" s="1187">
        <v>11</v>
      </c>
      <c r="B103" s="1228" t="s">
        <v>2721</v>
      </c>
      <c r="C103" s="1233" t="s">
        <v>37</v>
      </c>
      <c r="D103" s="1647" t="s">
        <v>743</v>
      </c>
      <c r="E103" s="1203">
        <v>2</v>
      </c>
      <c r="F103" s="1203">
        <v>2</v>
      </c>
      <c r="G103" s="1242">
        <f t="shared" si="10"/>
        <v>100</v>
      </c>
      <c r="H103" s="1229">
        <v>1500</v>
      </c>
      <c r="I103" s="1223">
        <v>750</v>
      </c>
      <c r="J103" s="1242">
        <f t="shared" si="8"/>
        <v>50</v>
      </c>
    </row>
    <row r="104" spans="1:10" ht="18.75" customHeight="1" x14ac:dyDescent="0.2">
      <c r="A104" s="1187">
        <v>12</v>
      </c>
      <c r="B104" s="1228" t="s">
        <v>2722</v>
      </c>
      <c r="C104" s="1233" t="s">
        <v>37</v>
      </c>
      <c r="D104" s="1647" t="s">
        <v>41</v>
      </c>
      <c r="E104" s="1203">
        <v>1200</v>
      </c>
      <c r="F104" s="1203">
        <v>597</v>
      </c>
      <c r="G104" s="1242">
        <f t="shared" si="10"/>
        <v>49.75</v>
      </c>
      <c r="H104" s="1229">
        <v>4000</v>
      </c>
      <c r="I104" s="1249">
        <v>1600</v>
      </c>
      <c r="J104" s="1242">
        <f t="shared" si="8"/>
        <v>40</v>
      </c>
    </row>
    <row r="105" spans="1:10" ht="18.75" customHeight="1" x14ac:dyDescent="0.2">
      <c r="A105" s="1187">
        <v>13</v>
      </c>
      <c r="B105" s="1228" t="s">
        <v>2723</v>
      </c>
      <c r="C105" s="1233" t="s">
        <v>37</v>
      </c>
      <c r="D105" s="1647" t="s">
        <v>41</v>
      </c>
      <c r="E105" s="1203">
        <v>150</v>
      </c>
      <c r="F105" s="1203">
        <v>65</v>
      </c>
      <c r="G105" s="1242">
        <f t="shared" si="10"/>
        <v>43.333333333333336</v>
      </c>
      <c r="H105" s="1229">
        <v>5000</v>
      </c>
      <c r="I105" s="1249">
        <v>1500</v>
      </c>
      <c r="J105" s="1242">
        <f t="shared" si="8"/>
        <v>30</v>
      </c>
    </row>
    <row r="106" spans="1:10" ht="18.75" customHeight="1" x14ac:dyDescent="0.2">
      <c r="A106" s="1235"/>
      <c r="B106" s="1159" t="s">
        <v>386</v>
      </c>
      <c r="C106" s="1250"/>
      <c r="D106" s="1193"/>
      <c r="E106" s="1194"/>
      <c r="F106" s="1237"/>
      <c r="G106" s="1194"/>
      <c r="H106" s="1164">
        <f>SUM(H107:H115)</f>
        <v>1007248</v>
      </c>
      <c r="I106" s="1238">
        <f>SUM(I107:I115)</f>
        <v>500732.77999999997</v>
      </c>
      <c r="J106" s="1251">
        <f>+I106/H106*100</f>
        <v>49.712958476958995</v>
      </c>
    </row>
    <row r="107" spans="1:10" ht="18.75" customHeight="1" x14ac:dyDescent="0.2">
      <c r="A107" s="1187">
        <v>1</v>
      </c>
      <c r="B107" s="1228" t="s">
        <v>241</v>
      </c>
      <c r="C107" s="1252" t="s">
        <v>37</v>
      </c>
      <c r="D107" s="1647" t="s">
        <v>106</v>
      </c>
      <c r="E107" s="1222">
        <v>4</v>
      </c>
      <c r="F107" s="1222">
        <v>3</v>
      </c>
      <c r="G107" s="1253">
        <f>+F107/E107*100</f>
        <v>75</v>
      </c>
      <c r="H107" s="1229">
        <v>4480</v>
      </c>
      <c r="I107" s="1219">
        <v>2975</v>
      </c>
      <c r="J107" s="1253">
        <f>+I107/H107*100</f>
        <v>66.40625</v>
      </c>
    </row>
    <row r="108" spans="1:10" ht="18.75" customHeight="1" x14ac:dyDescent="0.2">
      <c r="A108" s="1187">
        <v>2</v>
      </c>
      <c r="B108" s="1228" t="s">
        <v>632</v>
      </c>
      <c r="C108" s="1252" t="s">
        <v>37</v>
      </c>
      <c r="D108" s="1647" t="s">
        <v>633</v>
      </c>
      <c r="E108" s="1222">
        <v>12</v>
      </c>
      <c r="F108" s="1222">
        <v>6</v>
      </c>
      <c r="G108" s="1253">
        <f t="shared" ref="G108:G115" si="11">+F108/E108*100</f>
        <v>50</v>
      </c>
      <c r="H108" s="1229">
        <v>136883</v>
      </c>
      <c r="I108" s="1219">
        <v>96743.1</v>
      </c>
      <c r="J108" s="1253">
        <f t="shared" ref="J108:J115" si="12">+I108/H108*100</f>
        <v>70.675759590307052</v>
      </c>
    </row>
    <row r="109" spans="1:10" ht="18.75" customHeight="1" x14ac:dyDescent="0.2">
      <c r="A109" s="1187">
        <v>3</v>
      </c>
      <c r="B109" s="1228" t="s">
        <v>634</v>
      </c>
      <c r="C109" s="1252" t="s">
        <v>37</v>
      </c>
      <c r="D109" s="1647" t="s">
        <v>633</v>
      </c>
      <c r="E109" s="1222">
        <v>12</v>
      </c>
      <c r="F109" s="1222">
        <v>6</v>
      </c>
      <c r="G109" s="1253">
        <f t="shared" si="11"/>
        <v>50</v>
      </c>
      <c r="H109" s="1229">
        <v>5814</v>
      </c>
      <c r="I109" s="1219">
        <v>4554.2</v>
      </c>
      <c r="J109" s="1253">
        <f t="shared" si="12"/>
        <v>78.331613347093224</v>
      </c>
    </row>
    <row r="110" spans="1:10" ht="38.25" x14ac:dyDescent="0.2">
      <c r="A110" s="1187">
        <v>4</v>
      </c>
      <c r="B110" s="1228" t="s">
        <v>1995</v>
      </c>
      <c r="C110" s="1252" t="s">
        <v>37</v>
      </c>
      <c r="D110" s="1647" t="s">
        <v>635</v>
      </c>
      <c r="E110" s="1222">
        <v>4</v>
      </c>
      <c r="F110" s="1222">
        <v>2</v>
      </c>
      <c r="G110" s="1253">
        <f t="shared" si="11"/>
        <v>50</v>
      </c>
      <c r="H110" s="1229">
        <v>726231</v>
      </c>
      <c r="I110" s="1219">
        <v>347853</v>
      </c>
      <c r="J110" s="1253">
        <f t="shared" si="12"/>
        <v>47.898395964920255</v>
      </c>
    </row>
    <row r="111" spans="1:10" ht="25.5" x14ac:dyDescent="0.2">
      <c r="A111" s="1187">
        <v>5</v>
      </c>
      <c r="B111" s="1228" t="s">
        <v>1996</v>
      </c>
      <c r="C111" s="1252" t="s">
        <v>37</v>
      </c>
      <c r="D111" s="1647" t="s">
        <v>395</v>
      </c>
      <c r="E111" s="1222">
        <v>4</v>
      </c>
      <c r="F111" s="1222">
        <v>8</v>
      </c>
      <c r="G111" s="1253">
        <f t="shared" si="11"/>
        <v>200</v>
      </c>
      <c r="H111" s="1229">
        <v>39400</v>
      </c>
      <c r="I111" s="1219">
        <v>37219.74</v>
      </c>
      <c r="J111" s="1253">
        <f t="shared" si="12"/>
        <v>94.466345177664962</v>
      </c>
    </row>
    <row r="112" spans="1:10" ht="42" customHeight="1" x14ac:dyDescent="0.2">
      <c r="A112" s="1187">
        <v>6</v>
      </c>
      <c r="B112" s="1228" t="s">
        <v>1997</v>
      </c>
      <c r="C112" s="1252" t="s">
        <v>37</v>
      </c>
      <c r="D112" s="1647" t="s">
        <v>75</v>
      </c>
      <c r="E112" s="1222">
        <v>4</v>
      </c>
      <c r="F112" s="1222">
        <v>2</v>
      </c>
      <c r="G112" s="1253">
        <f t="shared" si="11"/>
        <v>50</v>
      </c>
      <c r="H112" s="1229">
        <v>0</v>
      </c>
      <c r="I112" s="1203">
        <v>0</v>
      </c>
      <c r="J112" s="1253">
        <v>0</v>
      </c>
    </row>
    <row r="113" spans="1:10" ht="18.75" customHeight="1" x14ac:dyDescent="0.2">
      <c r="A113" s="1187">
        <v>7</v>
      </c>
      <c r="B113" s="1228" t="s">
        <v>636</v>
      </c>
      <c r="C113" s="1252" t="s">
        <v>37</v>
      </c>
      <c r="D113" s="1647" t="s">
        <v>75</v>
      </c>
      <c r="E113" s="1222">
        <v>12</v>
      </c>
      <c r="F113" s="1222">
        <v>6</v>
      </c>
      <c r="G113" s="1253">
        <f t="shared" si="11"/>
        <v>50</v>
      </c>
      <c r="H113" s="1229">
        <v>0</v>
      </c>
      <c r="I113" s="1219">
        <v>0</v>
      </c>
      <c r="J113" s="1253">
        <v>0</v>
      </c>
    </row>
    <row r="114" spans="1:10" ht="30" customHeight="1" x14ac:dyDescent="0.2">
      <c r="A114" s="1187">
        <v>8</v>
      </c>
      <c r="B114" s="1228" t="s">
        <v>637</v>
      </c>
      <c r="C114" s="1252" t="s">
        <v>37</v>
      </c>
      <c r="D114" s="1647" t="s">
        <v>395</v>
      </c>
      <c r="E114" s="1222">
        <v>6</v>
      </c>
      <c r="F114" s="1222">
        <v>5</v>
      </c>
      <c r="G114" s="1253">
        <v>92</v>
      </c>
      <c r="H114" s="1229">
        <v>22358</v>
      </c>
      <c r="I114" s="1219">
        <v>11387.74</v>
      </c>
      <c r="J114" s="1253">
        <f t="shared" si="12"/>
        <v>50.933625547902317</v>
      </c>
    </row>
    <row r="115" spans="1:10" ht="36.75" customHeight="1" x14ac:dyDescent="0.2">
      <c r="A115" s="1187">
        <v>9</v>
      </c>
      <c r="B115" s="1228" t="s">
        <v>243</v>
      </c>
      <c r="C115" s="1252" t="s">
        <v>37</v>
      </c>
      <c r="D115" s="1647" t="s">
        <v>242</v>
      </c>
      <c r="E115" s="1222">
        <v>65</v>
      </c>
      <c r="F115" s="1222">
        <v>65</v>
      </c>
      <c r="G115" s="1253">
        <f t="shared" si="11"/>
        <v>100</v>
      </c>
      <c r="H115" s="1229">
        <v>72082</v>
      </c>
      <c r="I115" s="1219">
        <v>0</v>
      </c>
      <c r="J115" s="1253">
        <f t="shared" si="12"/>
        <v>0</v>
      </c>
    </row>
    <row r="116" spans="1:10" ht="18.75" customHeight="1" x14ac:dyDescent="0.2">
      <c r="A116" s="1157"/>
      <c r="B116" s="1192" t="s">
        <v>385</v>
      </c>
      <c r="C116" s="1254"/>
      <c r="D116" s="1255"/>
      <c r="E116" s="1256"/>
      <c r="F116" s="1257"/>
      <c r="G116" s="1257"/>
      <c r="H116" s="1258">
        <f>SUM(H117:H124)</f>
        <v>144693</v>
      </c>
      <c r="I116" s="1259">
        <f>SUM(I117:I124)</f>
        <v>64526</v>
      </c>
      <c r="J116" s="1238">
        <f>+I116/H116*100</f>
        <v>44.595108263703146</v>
      </c>
    </row>
    <row r="117" spans="1:10" ht="63.75" x14ac:dyDescent="0.2">
      <c r="A117" s="1187">
        <v>1</v>
      </c>
      <c r="B117" s="1228" t="s">
        <v>1998</v>
      </c>
      <c r="C117" s="1177" t="s">
        <v>37</v>
      </c>
      <c r="D117" s="1647" t="s">
        <v>111</v>
      </c>
      <c r="E117" s="1222">
        <v>12</v>
      </c>
      <c r="F117" s="1260">
        <v>7</v>
      </c>
      <c r="G117" s="1261">
        <f>+F117*8.33333333333333</f>
        <v>58.333333333333314</v>
      </c>
      <c r="H117" s="1229">
        <v>38484</v>
      </c>
      <c r="I117" s="1219">
        <v>15449</v>
      </c>
      <c r="J117" s="1219">
        <f>+I117/H117*100</f>
        <v>40.143955929737032</v>
      </c>
    </row>
    <row r="118" spans="1:10" ht="18.75" customHeight="1" x14ac:dyDescent="0.2">
      <c r="A118" s="1187">
        <v>3</v>
      </c>
      <c r="B118" s="1228" t="s">
        <v>711</v>
      </c>
      <c r="C118" s="1177" t="s">
        <v>37</v>
      </c>
      <c r="D118" s="1647" t="s">
        <v>111</v>
      </c>
      <c r="E118" s="1222">
        <v>12</v>
      </c>
      <c r="F118" s="1260">
        <v>7</v>
      </c>
      <c r="G118" s="1261">
        <f t="shared" ref="G118:G124" si="13">+F118*8.33333333333333</f>
        <v>58.333333333333314</v>
      </c>
      <c r="H118" s="1213">
        <v>36300</v>
      </c>
      <c r="I118" s="1219">
        <v>14175</v>
      </c>
      <c r="J118" s="1219">
        <f t="shared" ref="J118:J124" si="14">+I118/H118*100</f>
        <v>39.049586776859499</v>
      </c>
    </row>
    <row r="119" spans="1:10" ht="18.75" customHeight="1" x14ac:dyDescent="0.2">
      <c r="A119" s="1187">
        <v>4</v>
      </c>
      <c r="B119" s="1228" t="s">
        <v>245</v>
      </c>
      <c r="C119" s="1177" t="s">
        <v>37</v>
      </c>
      <c r="D119" s="1647" t="s">
        <v>111</v>
      </c>
      <c r="E119" s="1222">
        <v>12</v>
      </c>
      <c r="F119" s="1260">
        <v>7</v>
      </c>
      <c r="G119" s="1261">
        <f t="shared" si="13"/>
        <v>58.333333333333314</v>
      </c>
      <c r="H119" s="1213">
        <v>2495</v>
      </c>
      <c r="I119" s="1219">
        <v>1455.42</v>
      </c>
      <c r="J119" s="1219">
        <f t="shared" si="14"/>
        <v>58.33346693386774</v>
      </c>
    </row>
    <row r="120" spans="1:10" ht="25.5" x14ac:dyDescent="0.2">
      <c r="A120" s="1187">
        <v>5</v>
      </c>
      <c r="B120" s="1228" t="s">
        <v>1999</v>
      </c>
      <c r="C120" s="1177" t="s">
        <v>37</v>
      </c>
      <c r="D120" s="1647" t="s">
        <v>111</v>
      </c>
      <c r="E120" s="1222">
        <v>2</v>
      </c>
      <c r="F120" s="1260">
        <v>2</v>
      </c>
      <c r="G120" s="1261">
        <v>100</v>
      </c>
      <c r="H120" s="1213">
        <v>5039</v>
      </c>
      <c r="I120" s="1219">
        <v>5039</v>
      </c>
      <c r="J120" s="1219">
        <f t="shared" si="14"/>
        <v>100</v>
      </c>
    </row>
    <row r="121" spans="1:10" ht="18.75" customHeight="1" x14ac:dyDescent="0.2">
      <c r="A121" s="1187">
        <v>6</v>
      </c>
      <c r="B121" s="1228" t="s">
        <v>2000</v>
      </c>
      <c r="C121" s="1177" t="s">
        <v>37</v>
      </c>
      <c r="D121" s="1647" t="s">
        <v>111</v>
      </c>
      <c r="E121" s="1222">
        <v>1</v>
      </c>
      <c r="F121" s="1260">
        <v>1</v>
      </c>
      <c r="G121" s="1261">
        <v>100</v>
      </c>
      <c r="H121" s="1213">
        <v>32500</v>
      </c>
      <c r="I121" s="1219">
        <v>16407.580000000002</v>
      </c>
      <c r="J121" s="1219">
        <f t="shared" si="14"/>
        <v>50.484861538461544</v>
      </c>
    </row>
    <row r="122" spans="1:10" ht="25.5" x14ac:dyDescent="0.2">
      <c r="A122" s="1187">
        <v>7</v>
      </c>
      <c r="B122" s="1228" t="s">
        <v>2001</v>
      </c>
      <c r="C122" s="1177" t="s">
        <v>37</v>
      </c>
      <c r="D122" s="1647" t="s">
        <v>111</v>
      </c>
      <c r="E122" s="1222">
        <v>1</v>
      </c>
      <c r="F122" s="1260">
        <v>1</v>
      </c>
      <c r="G122" s="1261">
        <v>100</v>
      </c>
      <c r="H122" s="1213">
        <v>10000</v>
      </c>
      <c r="I122" s="1219">
        <v>8500</v>
      </c>
      <c r="J122" s="1219">
        <f t="shared" si="14"/>
        <v>85</v>
      </c>
    </row>
    <row r="123" spans="1:10" ht="38.25" x14ac:dyDescent="0.2">
      <c r="A123" s="1187">
        <v>8</v>
      </c>
      <c r="B123" s="1228" t="s">
        <v>2002</v>
      </c>
      <c r="C123" s="1177" t="s">
        <v>37</v>
      </c>
      <c r="D123" s="1647" t="s">
        <v>111</v>
      </c>
      <c r="E123" s="1222">
        <v>1</v>
      </c>
      <c r="F123" s="1260">
        <v>1</v>
      </c>
      <c r="G123" s="1261">
        <v>100</v>
      </c>
      <c r="H123" s="1213">
        <v>6000</v>
      </c>
      <c r="I123" s="1219">
        <v>3500</v>
      </c>
      <c r="J123" s="1219">
        <f t="shared" si="14"/>
        <v>58.333333333333336</v>
      </c>
    </row>
    <row r="124" spans="1:10" ht="39.75" customHeight="1" x14ac:dyDescent="0.2">
      <c r="A124" s="1187">
        <v>9</v>
      </c>
      <c r="B124" s="1228" t="s">
        <v>2003</v>
      </c>
      <c r="C124" s="1177" t="s">
        <v>37</v>
      </c>
      <c r="D124" s="1647" t="s">
        <v>111</v>
      </c>
      <c r="E124" s="1222">
        <v>2</v>
      </c>
      <c r="F124" s="1260">
        <v>0</v>
      </c>
      <c r="G124" s="1261">
        <f t="shared" si="13"/>
        <v>0</v>
      </c>
      <c r="H124" s="1213">
        <v>13875</v>
      </c>
      <c r="I124" s="1219">
        <v>0</v>
      </c>
      <c r="J124" s="1219">
        <f t="shared" si="14"/>
        <v>0</v>
      </c>
    </row>
    <row r="125" spans="1:10" ht="18.75" customHeight="1" x14ac:dyDescent="0.2">
      <c r="A125" s="1157"/>
      <c r="B125" s="1192" t="s">
        <v>384</v>
      </c>
      <c r="C125" s="1262"/>
      <c r="D125" s="1193"/>
      <c r="E125" s="1194"/>
      <c r="F125" s="1263"/>
      <c r="G125" s="1264"/>
      <c r="H125" s="1258">
        <f>SUM(H126:H144)</f>
        <v>1541560</v>
      </c>
      <c r="I125" s="1265">
        <f>SUM(I126:I144)</f>
        <v>781199.87</v>
      </c>
      <c r="J125" s="1266">
        <f>+I125/H125*100</f>
        <v>50.675930226523782</v>
      </c>
    </row>
    <row r="126" spans="1:10" ht="18.75" customHeight="1" x14ac:dyDescent="0.2">
      <c r="A126" s="1187">
        <v>1</v>
      </c>
      <c r="B126" s="1231" t="s">
        <v>246</v>
      </c>
      <c r="C126" s="1267" t="s">
        <v>37</v>
      </c>
      <c r="D126" s="1176" t="s">
        <v>247</v>
      </c>
      <c r="E126" s="1170">
        <v>180</v>
      </c>
      <c r="F126" s="1268">
        <f>18*6</f>
        <v>108</v>
      </c>
      <c r="G126" s="1269">
        <f t="shared" ref="G126:G131" si="15">ROUND((F126*100/E126),0)</f>
        <v>60</v>
      </c>
      <c r="H126" s="1275">
        <v>1900</v>
      </c>
      <c r="I126" s="1223">
        <v>1040.1199999999999</v>
      </c>
      <c r="J126" s="1269">
        <f>+I126/H126*100</f>
        <v>54.743157894736839</v>
      </c>
    </row>
    <row r="127" spans="1:10" ht="16.5" customHeight="1" x14ac:dyDescent="0.2">
      <c r="A127" s="1187">
        <v>2</v>
      </c>
      <c r="B127" s="1231" t="s">
        <v>248</v>
      </c>
      <c r="C127" s="1267" t="s">
        <v>37</v>
      </c>
      <c r="D127" s="1176" t="s">
        <v>249</v>
      </c>
      <c r="E127" s="1198">
        <v>180</v>
      </c>
      <c r="F127" s="1268">
        <v>108</v>
      </c>
      <c r="G127" s="1269">
        <f t="shared" si="15"/>
        <v>60</v>
      </c>
      <c r="H127" s="1275">
        <v>1900</v>
      </c>
      <c r="I127" s="1223">
        <v>1040</v>
      </c>
      <c r="J127" s="1269">
        <f t="shared" ref="J127:J144" si="16">+I127/H127*100</f>
        <v>54.736842105263165</v>
      </c>
    </row>
    <row r="128" spans="1:10" ht="18.75" customHeight="1" x14ac:dyDescent="0.2">
      <c r="A128" s="1187">
        <v>3</v>
      </c>
      <c r="B128" s="1231" t="s">
        <v>250</v>
      </c>
      <c r="C128" s="1267" t="s">
        <v>37</v>
      </c>
      <c r="D128" s="1176" t="s">
        <v>251</v>
      </c>
      <c r="E128" s="1198">
        <v>13000</v>
      </c>
      <c r="F128" s="1268">
        <v>3579</v>
      </c>
      <c r="G128" s="1269">
        <f t="shared" si="15"/>
        <v>28</v>
      </c>
      <c r="H128" s="1275">
        <v>1900</v>
      </c>
      <c r="I128" s="1223">
        <f t="shared" ref="I128:I131" si="17">G128*H128/100</f>
        <v>532</v>
      </c>
      <c r="J128" s="1269">
        <f t="shared" si="16"/>
        <v>28.000000000000004</v>
      </c>
    </row>
    <row r="129" spans="1:10" ht="15" customHeight="1" x14ac:dyDescent="0.2">
      <c r="A129" s="1187">
        <v>4</v>
      </c>
      <c r="B129" s="1231" t="s">
        <v>252</v>
      </c>
      <c r="C129" s="1267" t="s">
        <v>37</v>
      </c>
      <c r="D129" s="1176" t="s">
        <v>253</v>
      </c>
      <c r="E129" s="1198">
        <v>5000</v>
      </c>
      <c r="F129" s="1268"/>
      <c r="G129" s="1269">
        <f t="shared" si="15"/>
        <v>0</v>
      </c>
      <c r="H129" s="1275">
        <v>1900</v>
      </c>
      <c r="I129" s="1223">
        <f t="shared" si="17"/>
        <v>0</v>
      </c>
      <c r="J129" s="1269">
        <f t="shared" si="16"/>
        <v>0</v>
      </c>
    </row>
    <row r="130" spans="1:10" ht="16.5" customHeight="1" x14ac:dyDescent="0.2">
      <c r="A130" s="1187">
        <v>5</v>
      </c>
      <c r="B130" s="1231" t="s">
        <v>254</v>
      </c>
      <c r="C130" s="1267" t="s">
        <v>37</v>
      </c>
      <c r="D130" s="1176" t="s">
        <v>255</v>
      </c>
      <c r="E130" s="1198">
        <v>400</v>
      </c>
      <c r="F130" s="1268">
        <v>91</v>
      </c>
      <c r="G130" s="1269">
        <f t="shared" si="15"/>
        <v>23</v>
      </c>
      <c r="H130" s="1275">
        <v>1900</v>
      </c>
      <c r="I130" s="1223">
        <f t="shared" si="17"/>
        <v>437</v>
      </c>
      <c r="J130" s="1269">
        <f t="shared" si="16"/>
        <v>23</v>
      </c>
    </row>
    <row r="131" spans="1:10" ht="18.75" customHeight="1" x14ac:dyDescent="0.2">
      <c r="A131" s="1187">
        <v>6</v>
      </c>
      <c r="B131" s="1231" t="s">
        <v>256</v>
      </c>
      <c r="C131" s="1267" t="s">
        <v>37</v>
      </c>
      <c r="D131" s="1176" t="s">
        <v>251</v>
      </c>
      <c r="E131" s="1198">
        <v>1000</v>
      </c>
      <c r="F131" s="1268">
        <v>358</v>
      </c>
      <c r="G131" s="1269">
        <f t="shared" si="15"/>
        <v>36</v>
      </c>
      <c r="H131" s="1275">
        <v>1900</v>
      </c>
      <c r="I131" s="1223">
        <f t="shared" si="17"/>
        <v>684</v>
      </c>
      <c r="J131" s="1269">
        <f t="shared" si="16"/>
        <v>36</v>
      </c>
    </row>
    <row r="132" spans="1:10" ht="18.75" customHeight="1" x14ac:dyDescent="0.2">
      <c r="A132" s="1187">
        <v>7</v>
      </c>
      <c r="B132" s="1231" t="s">
        <v>257</v>
      </c>
      <c r="C132" s="1267" t="s">
        <v>37</v>
      </c>
      <c r="D132" s="1176" t="s">
        <v>112</v>
      </c>
      <c r="E132" s="1198">
        <v>24</v>
      </c>
      <c r="F132" s="1268">
        <v>14</v>
      </c>
      <c r="G132" s="1269">
        <f>ROUND((F132*100/E132),0)</f>
        <v>58</v>
      </c>
      <c r="H132" s="1275">
        <v>1900</v>
      </c>
      <c r="I132" s="1223">
        <v>1040</v>
      </c>
      <c r="J132" s="1269">
        <f t="shared" si="16"/>
        <v>54.736842105263165</v>
      </c>
    </row>
    <row r="133" spans="1:10" ht="18.75" customHeight="1" x14ac:dyDescent="0.2">
      <c r="A133" s="1271">
        <v>8</v>
      </c>
      <c r="B133" s="1272" t="s">
        <v>258</v>
      </c>
      <c r="C133" s="1273" t="s">
        <v>37</v>
      </c>
      <c r="D133" s="1274" t="s">
        <v>112</v>
      </c>
      <c r="E133" s="1275">
        <v>0</v>
      </c>
      <c r="F133" s="1276">
        <v>0</v>
      </c>
      <c r="G133" s="1277">
        <v>0</v>
      </c>
      <c r="H133" s="1275">
        <v>0</v>
      </c>
      <c r="I133" s="1232">
        <v>0</v>
      </c>
      <c r="J133" s="1277">
        <v>0</v>
      </c>
    </row>
    <row r="134" spans="1:10" ht="18.75" customHeight="1" x14ac:dyDescent="0.2">
      <c r="A134" s="1271">
        <v>6</v>
      </c>
      <c r="B134" s="1272" t="s">
        <v>259</v>
      </c>
      <c r="C134" s="1273" t="s">
        <v>37</v>
      </c>
      <c r="D134" s="1274" t="s">
        <v>112</v>
      </c>
      <c r="E134" s="1275">
        <v>0</v>
      </c>
      <c r="F134" s="1276">
        <v>0</v>
      </c>
      <c r="G134" s="1277">
        <v>0</v>
      </c>
      <c r="H134" s="1275">
        <v>0</v>
      </c>
      <c r="I134" s="1232">
        <v>0</v>
      </c>
      <c r="J134" s="1277">
        <v>0</v>
      </c>
    </row>
    <row r="135" spans="1:10" ht="18.75" customHeight="1" x14ac:dyDescent="0.2">
      <c r="A135" s="1187">
        <v>10</v>
      </c>
      <c r="B135" s="1231" t="s">
        <v>260</v>
      </c>
      <c r="C135" s="1267" t="s">
        <v>37</v>
      </c>
      <c r="D135" s="1176" t="s">
        <v>261</v>
      </c>
      <c r="E135" s="1198">
        <v>400</v>
      </c>
      <c r="F135" s="1268">
        <f>156*2</f>
        <v>312</v>
      </c>
      <c r="G135" s="1269">
        <f t="shared" ref="G135:G143" si="18">ROUND((F135*100/E135),0)</f>
        <v>78</v>
      </c>
      <c r="H135" s="1275">
        <v>1900</v>
      </c>
      <c r="I135" s="1223">
        <f t="shared" ref="I135:I142" si="19">G135*H135/100</f>
        <v>1482</v>
      </c>
      <c r="J135" s="1269">
        <f t="shared" si="16"/>
        <v>78</v>
      </c>
    </row>
    <row r="136" spans="1:10" ht="14.25" customHeight="1" x14ac:dyDescent="0.2">
      <c r="A136" s="1187">
        <v>11</v>
      </c>
      <c r="B136" s="1231" t="s">
        <v>262</v>
      </c>
      <c r="C136" s="1267" t="s">
        <v>37</v>
      </c>
      <c r="D136" s="1176" t="s">
        <v>263</v>
      </c>
      <c r="E136" s="1198">
        <v>12</v>
      </c>
      <c r="F136" s="1268">
        <v>6</v>
      </c>
      <c r="G136" s="1269">
        <f t="shared" si="18"/>
        <v>50</v>
      </c>
      <c r="H136" s="1275">
        <v>1900</v>
      </c>
      <c r="I136" s="1223">
        <f t="shared" si="19"/>
        <v>950</v>
      </c>
      <c r="J136" s="1269">
        <f t="shared" si="16"/>
        <v>50</v>
      </c>
    </row>
    <row r="137" spans="1:10" ht="18.75" customHeight="1" x14ac:dyDescent="0.2">
      <c r="A137" s="1187">
        <v>12</v>
      </c>
      <c r="B137" s="1231" t="s">
        <v>264</v>
      </c>
      <c r="C137" s="1267" t="s">
        <v>37</v>
      </c>
      <c r="D137" s="1176" t="s">
        <v>263</v>
      </c>
      <c r="E137" s="1198">
        <v>12</v>
      </c>
      <c r="F137" s="1268">
        <v>6</v>
      </c>
      <c r="G137" s="1269">
        <f t="shared" si="18"/>
        <v>50</v>
      </c>
      <c r="H137" s="1275">
        <v>1900</v>
      </c>
      <c r="I137" s="1223">
        <f t="shared" si="19"/>
        <v>950</v>
      </c>
      <c r="J137" s="1269">
        <f t="shared" si="16"/>
        <v>50</v>
      </c>
    </row>
    <row r="138" spans="1:10" ht="16.5" customHeight="1" x14ac:dyDescent="0.2">
      <c r="A138" s="1187">
        <v>13</v>
      </c>
      <c r="B138" s="1231" t="s">
        <v>265</v>
      </c>
      <c r="C138" s="1267" t="s">
        <v>37</v>
      </c>
      <c r="D138" s="1176" t="s">
        <v>263</v>
      </c>
      <c r="E138" s="1198">
        <v>144</v>
      </c>
      <c r="F138" s="1268">
        <f>12*6</f>
        <v>72</v>
      </c>
      <c r="G138" s="1269">
        <f t="shared" si="18"/>
        <v>50</v>
      </c>
      <c r="H138" s="1275">
        <v>1900</v>
      </c>
      <c r="I138" s="1223">
        <f t="shared" si="19"/>
        <v>950</v>
      </c>
      <c r="J138" s="1269">
        <f t="shared" si="16"/>
        <v>50</v>
      </c>
    </row>
    <row r="139" spans="1:10" ht="13.5" customHeight="1" x14ac:dyDescent="0.2">
      <c r="A139" s="1187">
        <v>14</v>
      </c>
      <c r="B139" s="1231" t="s">
        <v>266</v>
      </c>
      <c r="C139" s="1267" t="s">
        <v>37</v>
      </c>
      <c r="D139" s="1176" t="s">
        <v>267</v>
      </c>
      <c r="E139" s="1198">
        <v>15</v>
      </c>
      <c r="F139" s="1268">
        <v>11</v>
      </c>
      <c r="G139" s="1269">
        <f t="shared" si="18"/>
        <v>73</v>
      </c>
      <c r="H139" s="1275">
        <v>1900</v>
      </c>
      <c r="I139" s="1223">
        <v>488</v>
      </c>
      <c r="J139" s="1269">
        <f t="shared" si="16"/>
        <v>25.684210526315788</v>
      </c>
    </row>
    <row r="140" spans="1:10" ht="18.75" customHeight="1" x14ac:dyDescent="0.2">
      <c r="A140" s="1187">
        <v>15</v>
      </c>
      <c r="B140" s="1231" t="s">
        <v>268</v>
      </c>
      <c r="C140" s="1267" t="s">
        <v>37</v>
      </c>
      <c r="D140" s="1176" t="s">
        <v>269</v>
      </c>
      <c r="E140" s="1198">
        <v>2</v>
      </c>
      <c r="F140" s="1268">
        <v>1</v>
      </c>
      <c r="G140" s="1269">
        <f t="shared" si="18"/>
        <v>50</v>
      </c>
      <c r="H140" s="1275">
        <v>1900</v>
      </c>
      <c r="I140" s="1223">
        <f t="shared" si="19"/>
        <v>950</v>
      </c>
      <c r="J140" s="1269">
        <f t="shared" si="16"/>
        <v>50</v>
      </c>
    </row>
    <row r="141" spans="1:10" ht="13.5" customHeight="1" x14ac:dyDescent="0.2">
      <c r="A141" s="1187">
        <v>16</v>
      </c>
      <c r="B141" s="1231" t="s">
        <v>270</v>
      </c>
      <c r="C141" s="1267" t="s">
        <v>37</v>
      </c>
      <c r="D141" s="1176" t="s">
        <v>271</v>
      </c>
      <c r="E141" s="1198">
        <v>1</v>
      </c>
      <c r="F141" s="1268">
        <v>1</v>
      </c>
      <c r="G141" s="1269">
        <f t="shared" si="18"/>
        <v>100</v>
      </c>
      <c r="H141" s="1275">
        <v>1900</v>
      </c>
      <c r="I141" s="1223">
        <f t="shared" si="19"/>
        <v>1900</v>
      </c>
      <c r="J141" s="1269">
        <f t="shared" si="16"/>
        <v>100</v>
      </c>
    </row>
    <row r="142" spans="1:10" ht="15" customHeight="1" x14ac:dyDescent="0.2">
      <c r="A142" s="1187">
        <v>17</v>
      </c>
      <c r="B142" s="1231" t="s">
        <v>272</v>
      </c>
      <c r="C142" s="1267" t="s">
        <v>37</v>
      </c>
      <c r="D142" s="1176" t="s">
        <v>60</v>
      </c>
      <c r="E142" s="1198">
        <v>2</v>
      </c>
      <c r="F142" s="1268">
        <v>0</v>
      </c>
      <c r="G142" s="1269">
        <f t="shared" si="18"/>
        <v>0</v>
      </c>
      <c r="H142" s="1275">
        <v>1900</v>
      </c>
      <c r="I142" s="1223">
        <f t="shared" si="19"/>
        <v>0</v>
      </c>
      <c r="J142" s="1269">
        <f t="shared" si="16"/>
        <v>0</v>
      </c>
    </row>
    <row r="143" spans="1:10" ht="15.75" customHeight="1" x14ac:dyDescent="0.2">
      <c r="A143" s="1187">
        <v>18</v>
      </c>
      <c r="B143" s="1231" t="s">
        <v>273</v>
      </c>
      <c r="C143" s="1267" t="s">
        <v>37</v>
      </c>
      <c r="D143" s="1176" t="s">
        <v>274</v>
      </c>
      <c r="E143" s="1198">
        <v>1</v>
      </c>
      <c r="F143" s="1268">
        <v>0</v>
      </c>
      <c r="G143" s="1269">
        <f t="shared" si="18"/>
        <v>0</v>
      </c>
      <c r="H143" s="1275">
        <v>1340395</v>
      </c>
      <c r="I143" s="1223">
        <v>673791</v>
      </c>
      <c r="J143" s="1269">
        <f t="shared" si="16"/>
        <v>50.268092614490499</v>
      </c>
    </row>
    <row r="144" spans="1:10" ht="15" customHeight="1" x14ac:dyDescent="0.2">
      <c r="A144" s="1278">
        <v>19</v>
      </c>
      <c r="B144" s="1644" t="s">
        <v>275</v>
      </c>
      <c r="C144" s="1267" t="s">
        <v>37</v>
      </c>
      <c r="D144" s="1176" t="s">
        <v>92</v>
      </c>
      <c r="E144" s="1170">
        <v>1000</v>
      </c>
      <c r="F144" s="1268">
        <f>G144*E144/100</f>
        <v>550</v>
      </c>
      <c r="G144" s="1269">
        <f>ROUND((94384*100/H144),0)</f>
        <v>55</v>
      </c>
      <c r="H144" s="1275">
        <v>172665</v>
      </c>
      <c r="I144" s="1223">
        <f>G144*H144/100</f>
        <v>94965.75</v>
      </c>
      <c r="J144" s="1269">
        <f t="shared" si="16"/>
        <v>55.000000000000007</v>
      </c>
    </row>
    <row r="145" spans="1:10" ht="18.75" customHeight="1" x14ac:dyDescent="0.2">
      <c r="A145" s="1279"/>
      <c r="B145" s="1192" t="s">
        <v>383</v>
      </c>
      <c r="C145" s="1280"/>
      <c r="D145" s="1281"/>
      <c r="E145" s="1282"/>
      <c r="F145" s="1283"/>
      <c r="G145" s="1284"/>
      <c r="H145" s="1164">
        <f>SUM(H146:H165)</f>
        <v>145573</v>
      </c>
      <c r="I145" s="1238">
        <f>SUM(I146:I165)</f>
        <v>73489.858095884585</v>
      </c>
      <c r="J145" s="1251">
        <f>+I145/H145*100</f>
        <v>50.483165213250118</v>
      </c>
    </row>
    <row r="146" spans="1:10" ht="25.5" x14ac:dyDescent="0.2">
      <c r="A146" s="1187">
        <v>1</v>
      </c>
      <c r="B146" s="1285" t="s">
        <v>691</v>
      </c>
      <c r="C146" s="1176" t="s">
        <v>37</v>
      </c>
      <c r="D146" s="1651" t="s">
        <v>276</v>
      </c>
      <c r="E146" s="1218">
        <v>10200</v>
      </c>
      <c r="F146" s="1218">
        <v>5870</v>
      </c>
      <c r="G146" s="1286">
        <f>+F146/E146*100</f>
        <v>57.549019607843135</v>
      </c>
      <c r="H146" s="1275">
        <v>20881</v>
      </c>
      <c r="I146" s="1223">
        <v>12016.810784313724</v>
      </c>
      <c r="J146" s="1286">
        <f>+I146/H146*100</f>
        <v>57.549019607843135</v>
      </c>
    </row>
    <row r="147" spans="1:10" ht="25.5" x14ac:dyDescent="0.2">
      <c r="A147" s="1187">
        <v>2</v>
      </c>
      <c r="B147" s="1285" t="s">
        <v>692</v>
      </c>
      <c r="C147" s="1176" t="s">
        <v>37</v>
      </c>
      <c r="D147" s="1651" t="s">
        <v>677</v>
      </c>
      <c r="E147" s="1218">
        <v>9100</v>
      </c>
      <c r="F147" s="1218">
        <v>4695</v>
      </c>
      <c r="G147" s="1286">
        <f t="shared" ref="G147:G165" si="20">+F147/E147*100</f>
        <v>51.593406593406598</v>
      </c>
      <c r="H147" s="1275">
        <v>20150</v>
      </c>
      <c r="I147" s="1223">
        <v>10396.071428571429</v>
      </c>
      <c r="J147" s="1286">
        <f t="shared" ref="J147:J165" si="21">+I147/H147*100</f>
        <v>51.593406593406598</v>
      </c>
    </row>
    <row r="148" spans="1:10" ht="25.5" x14ac:dyDescent="0.2">
      <c r="A148" s="1187">
        <v>3</v>
      </c>
      <c r="B148" s="1285" t="s">
        <v>678</v>
      </c>
      <c r="C148" s="1176" t="s">
        <v>37</v>
      </c>
      <c r="D148" s="1651" t="s">
        <v>568</v>
      </c>
      <c r="E148" s="1218">
        <v>14</v>
      </c>
      <c r="F148" s="1218">
        <v>5</v>
      </c>
      <c r="G148" s="1286">
        <f t="shared" si="20"/>
        <v>35.714285714285715</v>
      </c>
      <c r="H148" s="1275">
        <v>2073</v>
      </c>
      <c r="I148" s="1223">
        <v>740.35714285714289</v>
      </c>
      <c r="J148" s="1286">
        <f t="shared" si="21"/>
        <v>35.714285714285715</v>
      </c>
    </row>
    <row r="149" spans="1:10" ht="18.75" customHeight="1" x14ac:dyDescent="0.2">
      <c r="A149" s="1187">
        <v>4</v>
      </c>
      <c r="B149" s="1285" t="s">
        <v>679</v>
      </c>
      <c r="C149" s="1176" t="s">
        <v>37</v>
      </c>
      <c r="D149" s="1651" t="s">
        <v>276</v>
      </c>
      <c r="E149" s="1218">
        <v>2100</v>
      </c>
      <c r="F149" s="1218">
        <v>1275</v>
      </c>
      <c r="G149" s="1286">
        <f t="shared" si="20"/>
        <v>60.714285714285708</v>
      </c>
      <c r="H149" s="1275">
        <v>6280</v>
      </c>
      <c r="I149" s="1223">
        <v>3812.8571428571427</v>
      </c>
      <c r="J149" s="1286">
        <f t="shared" si="21"/>
        <v>60.714285714285708</v>
      </c>
    </row>
    <row r="150" spans="1:10" ht="28.5" customHeight="1" x14ac:dyDescent="0.2">
      <c r="A150" s="1187">
        <v>5</v>
      </c>
      <c r="B150" s="1285" t="s">
        <v>680</v>
      </c>
      <c r="C150" s="1176" t="s">
        <v>37</v>
      </c>
      <c r="D150" s="1651" t="s">
        <v>681</v>
      </c>
      <c r="E150" s="1218">
        <v>10200</v>
      </c>
      <c r="F150" s="1218">
        <v>7946</v>
      </c>
      <c r="G150" s="1286">
        <f t="shared" si="20"/>
        <v>77.901960784313729</v>
      </c>
      <c r="H150" s="1275">
        <v>31559</v>
      </c>
      <c r="I150" s="1223">
        <v>15770</v>
      </c>
      <c r="J150" s="1286">
        <f t="shared" si="21"/>
        <v>49.969897652016861</v>
      </c>
    </row>
    <row r="151" spans="1:10" ht="25.5" x14ac:dyDescent="0.2">
      <c r="A151" s="1187">
        <v>6</v>
      </c>
      <c r="B151" s="1285" t="s">
        <v>682</v>
      </c>
      <c r="C151" s="1176" t="s">
        <v>37</v>
      </c>
      <c r="D151" s="1651" t="s">
        <v>681</v>
      </c>
      <c r="E151" s="1218">
        <v>1200</v>
      </c>
      <c r="F151" s="1218">
        <v>884</v>
      </c>
      <c r="G151" s="1286">
        <f t="shared" si="20"/>
        <v>73.666666666666671</v>
      </c>
      <c r="H151" s="1275">
        <v>6066</v>
      </c>
      <c r="I151" s="1223">
        <v>4468.4874</v>
      </c>
      <c r="J151" s="1286">
        <f t="shared" si="21"/>
        <v>73.664480712166167</v>
      </c>
    </row>
    <row r="152" spans="1:10" ht="25.5" x14ac:dyDescent="0.2">
      <c r="A152" s="1187">
        <v>7</v>
      </c>
      <c r="B152" s="1285" t="s">
        <v>683</v>
      </c>
      <c r="C152" s="1176" t="s">
        <v>37</v>
      </c>
      <c r="D152" s="1651" t="s">
        <v>684</v>
      </c>
      <c r="E152" s="1218">
        <v>12</v>
      </c>
      <c r="F152" s="1218">
        <v>6</v>
      </c>
      <c r="G152" s="1286">
        <f t="shared" si="20"/>
        <v>50</v>
      </c>
      <c r="H152" s="1275">
        <v>1967</v>
      </c>
      <c r="I152" s="1223">
        <v>983.5</v>
      </c>
      <c r="J152" s="1286">
        <f t="shared" si="21"/>
        <v>50</v>
      </c>
    </row>
    <row r="153" spans="1:10" ht="28.5" customHeight="1" x14ac:dyDescent="0.2">
      <c r="A153" s="1187">
        <v>8</v>
      </c>
      <c r="B153" s="1285" t="s">
        <v>685</v>
      </c>
      <c r="C153" s="1176" t="s">
        <v>37</v>
      </c>
      <c r="D153" s="1651" t="s">
        <v>686</v>
      </c>
      <c r="E153" s="1218">
        <v>4</v>
      </c>
      <c r="F153" s="1218">
        <v>1</v>
      </c>
      <c r="G153" s="1286">
        <f t="shared" si="20"/>
        <v>25</v>
      </c>
      <c r="H153" s="1275">
        <v>15441</v>
      </c>
      <c r="I153" s="1223">
        <v>5270</v>
      </c>
      <c r="J153" s="1286">
        <f t="shared" si="21"/>
        <v>34.129913865682276</v>
      </c>
    </row>
    <row r="154" spans="1:10" ht="38.25" x14ac:dyDescent="0.2">
      <c r="A154" s="1187">
        <v>9</v>
      </c>
      <c r="B154" s="1285" t="s">
        <v>277</v>
      </c>
      <c r="C154" s="1176" t="s">
        <v>37</v>
      </c>
      <c r="D154" s="1651" t="s">
        <v>687</v>
      </c>
      <c r="E154" s="1218">
        <v>324</v>
      </c>
      <c r="F154" s="1218">
        <v>162</v>
      </c>
      <c r="G154" s="1286">
        <f t="shared" si="20"/>
        <v>50</v>
      </c>
      <c r="H154" s="1275">
        <v>1638</v>
      </c>
      <c r="I154" s="1223">
        <v>818.88499999999999</v>
      </c>
      <c r="J154" s="1286">
        <f t="shared" si="21"/>
        <v>49.992979242979239</v>
      </c>
    </row>
    <row r="155" spans="1:10" ht="38.25" x14ac:dyDescent="0.2">
      <c r="A155" s="1187">
        <v>10</v>
      </c>
      <c r="B155" s="1285" t="s">
        <v>693</v>
      </c>
      <c r="C155" s="1176" t="s">
        <v>37</v>
      </c>
      <c r="D155" s="1651" t="s">
        <v>688</v>
      </c>
      <c r="E155" s="1218">
        <v>4</v>
      </c>
      <c r="F155" s="1218">
        <v>1</v>
      </c>
      <c r="G155" s="1286">
        <f t="shared" si="20"/>
        <v>25</v>
      </c>
      <c r="H155" s="1275">
        <v>3688</v>
      </c>
      <c r="I155" s="1223">
        <v>1844</v>
      </c>
      <c r="J155" s="1286">
        <f t="shared" si="21"/>
        <v>50</v>
      </c>
    </row>
    <row r="156" spans="1:10" ht="27.75" customHeight="1" x14ac:dyDescent="0.2">
      <c r="A156" s="1187">
        <v>11</v>
      </c>
      <c r="B156" s="1285" t="s">
        <v>278</v>
      </c>
      <c r="C156" s="1176" t="s">
        <v>37</v>
      </c>
      <c r="D156" s="1651" t="s">
        <v>97</v>
      </c>
      <c r="E156" s="1218">
        <v>16</v>
      </c>
      <c r="F156" s="1218">
        <v>8</v>
      </c>
      <c r="G156" s="1286">
        <f t="shared" si="20"/>
        <v>50</v>
      </c>
      <c r="H156" s="1275">
        <v>5615</v>
      </c>
      <c r="I156" s="1223">
        <v>2807.5</v>
      </c>
      <c r="J156" s="1286">
        <f t="shared" si="21"/>
        <v>50</v>
      </c>
    </row>
    <row r="157" spans="1:10" ht="25.5" customHeight="1" x14ac:dyDescent="0.2">
      <c r="A157" s="1187">
        <v>12</v>
      </c>
      <c r="B157" s="1285" t="s">
        <v>279</v>
      </c>
      <c r="C157" s="1176" t="s">
        <v>37</v>
      </c>
      <c r="D157" s="1651" t="s">
        <v>280</v>
      </c>
      <c r="E157" s="1218">
        <v>6</v>
      </c>
      <c r="F157" s="1218">
        <v>4</v>
      </c>
      <c r="G157" s="1286">
        <f t="shared" si="20"/>
        <v>66.666666666666657</v>
      </c>
      <c r="H157" s="1275">
        <v>1708</v>
      </c>
      <c r="I157" s="1223">
        <v>1138.6666666666665</v>
      </c>
      <c r="J157" s="1286">
        <f t="shared" si="21"/>
        <v>66.666666666666657</v>
      </c>
    </row>
    <row r="158" spans="1:10" ht="28.5" customHeight="1" x14ac:dyDescent="0.2">
      <c r="A158" s="1187">
        <v>13</v>
      </c>
      <c r="B158" s="1285" t="s">
        <v>281</v>
      </c>
      <c r="C158" s="1176" t="s">
        <v>37</v>
      </c>
      <c r="D158" s="1651" t="s">
        <v>282</v>
      </c>
      <c r="E158" s="1218">
        <v>2840</v>
      </c>
      <c r="F158" s="1218">
        <v>1690</v>
      </c>
      <c r="G158" s="1286">
        <f t="shared" si="20"/>
        <v>59.507042253521128</v>
      </c>
      <c r="H158" s="1275">
        <v>1618</v>
      </c>
      <c r="I158" s="1223">
        <v>962.82394366197184</v>
      </c>
      <c r="J158" s="1286">
        <f t="shared" si="21"/>
        <v>59.507042253521128</v>
      </c>
    </row>
    <row r="159" spans="1:10" ht="25.5" x14ac:dyDescent="0.2">
      <c r="A159" s="1187">
        <v>14</v>
      </c>
      <c r="B159" s="1285" t="s">
        <v>283</v>
      </c>
      <c r="C159" s="1176" t="s">
        <v>37</v>
      </c>
      <c r="D159" s="1651" t="s">
        <v>282</v>
      </c>
      <c r="E159" s="1218">
        <v>230</v>
      </c>
      <c r="F159" s="1218">
        <v>84</v>
      </c>
      <c r="G159" s="1286">
        <f t="shared" si="20"/>
        <v>36.521739130434781</v>
      </c>
      <c r="H159" s="1275">
        <v>2075</v>
      </c>
      <c r="I159" s="1223">
        <v>757.82608695652175</v>
      </c>
      <c r="J159" s="1286">
        <f t="shared" si="21"/>
        <v>36.521739130434781</v>
      </c>
    </row>
    <row r="160" spans="1:10" ht="25.5" x14ac:dyDescent="0.2">
      <c r="A160" s="1187">
        <v>15</v>
      </c>
      <c r="B160" s="1285" t="s">
        <v>284</v>
      </c>
      <c r="C160" s="1176" t="s">
        <v>37</v>
      </c>
      <c r="D160" s="1651" t="s">
        <v>696</v>
      </c>
      <c r="E160" s="1218">
        <v>320</v>
      </c>
      <c r="F160" s="1218">
        <v>148</v>
      </c>
      <c r="G160" s="1286">
        <f t="shared" si="20"/>
        <v>46.25</v>
      </c>
      <c r="H160" s="1275">
        <v>2395</v>
      </c>
      <c r="I160" s="1223">
        <v>1107.6875</v>
      </c>
      <c r="J160" s="1286">
        <f t="shared" si="21"/>
        <v>46.25</v>
      </c>
    </row>
    <row r="161" spans="1:10" ht="27" customHeight="1" x14ac:dyDescent="0.2">
      <c r="A161" s="1187">
        <v>16</v>
      </c>
      <c r="B161" s="1285" t="s">
        <v>694</v>
      </c>
      <c r="C161" s="1176" t="s">
        <v>37</v>
      </c>
      <c r="D161" s="1651" t="s">
        <v>689</v>
      </c>
      <c r="E161" s="1218">
        <v>120</v>
      </c>
      <c r="F161" s="1218">
        <v>60</v>
      </c>
      <c r="G161" s="1286">
        <f t="shared" si="20"/>
        <v>50</v>
      </c>
      <c r="H161" s="1275">
        <v>13606</v>
      </c>
      <c r="I161" s="1223">
        <v>5238</v>
      </c>
      <c r="J161" s="1286">
        <f t="shared" si="21"/>
        <v>38.497721593414667</v>
      </c>
    </row>
    <row r="162" spans="1:10" ht="21.75" customHeight="1" x14ac:dyDescent="0.2">
      <c r="A162" s="1187">
        <v>17</v>
      </c>
      <c r="B162" s="1285" t="s">
        <v>285</v>
      </c>
      <c r="C162" s="1176" t="s">
        <v>37</v>
      </c>
      <c r="D162" s="1651" t="s">
        <v>690</v>
      </c>
      <c r="E162" s="1218">
        <v>324</v>
      </c>
      <c r="F162" s="1218">
        <v>162</v>
      </c>
      <c r="G162" s="1286">
        <f t="shared" si="20"/>
        <v>50</v>
      </c>
      <c r="H162" s="1275">
        <v>1638</v>
      </c>
      <c r="I162" s="1223">
        <v>818.88499999999999</v>
      </c>
      <c r="J162" s="1286">
        <f t="shared" si="21"/>
        <v>49.992979242979239</v>
      </c>
    </row>
    <row r="163" spans="1:10" ht="30" customHeight="1" x14ac:dyDescent="0.2">
      <c r="A163" s="1187">
        <v>18</v>
      </c>
      <c r="B163" s="1285" t="s">
        <v>286</v>
      </c>
      <c r="C163" s="1176" t="s">
        <v>37</v>
      </c>
      <c r="D163" s="1651" t="s">
        <v>690</v>
      </c>
      <c r="E163" s="1218">
        <v>12</v>
      </c>
      <c r="F163" s="1218">
        <v>6</v>
      </c>
      <c r="G163" s="1286">
        <f t="shared" si="20"/>
        <v>50</v>
      </c>
      <c r="H163" s="1275">
        <v>1475</v>
      </c>
      <c r="I163" s="1223">
        <v>737.5</v>
      </c>
      <c r="J163" s="1286">
        <f t="shared" si="21"/>
        <v>50</v>
      </c>
    </row>
    <row r="164" spans="1:10" ht="25.5" x14ac:dyDescent="0.2">
      <c r="A164" s="1187">
        <v>19</v>
      </c>
      <c r="B164" s="1285" t="s">
        <v>287</v>
      </c>
      <c r="C164" s="1176" t="s">
        <v>37</v>
      </c>
      <c r="D164" s="1651" t="s">
        <v>690</v>
      </c>
      <c r="E164" s="1218">
        <v>27</v>
      </c>
      <c r="F164" s="1218">
        <v>28</v>
      </c>
      <c r="G164" s="1286">
        <f t="shared" si="20"/>
        <v>103.7037037037037</v>
      </c>
      <c r="H164" s="1275">
        <v>2700</v>
      </c>
      <c r="I164" s="1223">
        <v>2800</v>
      </c>
      <c r="J164" s="1286">
        <f t="shared" si="21"/>
        <v>103.7037037037037</v>
      </c>
    </row>
    <row r="165" spans="1:10" ht="54" customHeight="1" x14ac:dyDescent="0.2">
      <c r="A165" s="1187">
        <v>20</v>
      </c>
      <c r="B165" s="1285" t="s">
        <v>695</v>
      </c>
      <c r="C165" s="1176" t="s">
        <v>37</v>
      </c>
      <c r="D165" s="1651" t="s">
        <v>690</v>
      </c>
      <c r="E165" s="1218">
        <v>6</v>
      </c>
      <c r="F165" s="1218">
        <v>1</v>
      </c>
      <c r="G165" s="1286">
        <f t="shared" si="20"/>
        <v>16.666666666666664</v>
      </c>
      <c r="H165" s="1275">
        <v>3000</v>
      </c>
      <c r="I165" s="1223">
        <v>1000</v>
      </c>
      <c r="J165" s="1286">
        <f t="shared" si="21"/>
        <v>33.333333333333329</v>
      </c>
    </row>
    <row r="166" spans="1:10" ht="23.25" customHeight="1" x14ac:dyDescent="0.2">
      <c r="A166" s="1287"/>
      <c r="B166" s="1192" t="s">
        <v>382</v>
      </c>
      <c r="C166" s="1192"/>
      <c r="D166" s="1193"/>
      <c r="E166" s="1288"/>
      <c r="F166" s="1288"/>
      <c r="G166" s="1288"/>
      <c r="H166" s="1164">
        <f>+H167+H175+H184+H191+H196</f>
        <v>1445133</v>
      </c>
      <c r="I166" s="1238">
        <f>+I167+I175+I184+I191+I196</f>
        <v>635351.63</v>
      </c>
      <c r="J166" s="1266">
        <f>(I166/H166)*100</f>
        <v>43.964924335683982</v>
      </c>
    </row>
    <row r="167" spans="1:10" ht="18.75" customHeight="1" x14ac:dyDescent="0.2">
      <c r="A167" s="1278"/>
      <c r="B167" s="1643" t="s">
        <v>290</v>
      </c>
      <c r="C167" s="1289"/>
      <c r="D167" s="1183"/>
      <c r="E167" s="1290"/>
      <c r="F167" s="1290"/>
      <c r="G167" s="1290"/>
      <c r="H167" s="1291">
        <f>SUM(H168:H174)</f>
        <v>118419</v>
      </c>
      <c r="I167" s="1292">
        <f>SUM(I168:I174)</f>
        <v>52999.630000000005</v>
      </c>
      <c r="J167" s="1293">
        <f>+I167/H167*100</f>
        <v>44.756018882105067</v>
      </c>
    </row>
    <row r="168" spans="1:10" ht="18.75" customHeight="1" x14ac:dyDescent="0.25">
      <c r="A168" s="1278">
        <v>1</v>
      </c>
      <c r="B168" s="1212" t="s">
        <v>638</v>
      </c>
      <c r="C168" s="1183" t="s">
        <v>37</v>
      </c>
      <c r="D168" s="1183" t="s">
        <v>41</v>
      </c>
      <c r="E168" s="1174">
        <v>4500</v>
      </c>
      <c r="F168" s="1294">
        <v>1113</v>
      </c>
      <c r="G168" s="1290">
        <f>(F168/E168)*100</f>
        <v>24.733333333333331</v>
      </c>
      <c r="H168" s="1174">
        <v>10000</v>
      </c>
      <c r="I168" s="1295">
        <f>H168/4</f>
        <v>2500</v>
      </c>
      <c r="J168" s="1296">
        <f>(I168/H168)*100</f>
        <v>25</v>
      </c>
    </row>
    <row r="169" spans="1:10" ht="38.25" x14ac:dyDescent="0.2">
      <c r="A169" s="1278">
        <v>2</v>
      </c>
      <c r="B169" s="1212" t="s">
        <v>639</v>
      </c>
      <c r="C169" s="1183" t="s">
        <v>37</v>
      </c>
      <c r="D169" s="1183" t="s">
        <v>640</v>
      </c>
      <c r="E169" s="1174">
        <v>4000</v>
      </c>
      <c r="F169" s="1294">
        <v>1100</v>
      </c>
      <c r="G169" s="1290">
        <f>(F169/E169)*100</f>
        <v>27.500000000000004</v>
      </c>
      <c r="H169" s="1174">
        <v>33000</v>
      </c>
      <c r="I169" s="1295">
        <v>14999</v>
      </c>
      <c r="J169" s="1297">
        <f t="shared" ref="J169:J174" si="22">(I169/H169)*100</f>
        <v>45.451515151515153</v>
      </c>
    </row>
    <row r="170" spans="1:10" ht="18.75" customHeight="1" x14ac:dyDescent="0.2">
      <c r="A170" s="1278">
        <v>3</v>
      </c>
      <c r="B170" s="1212" t="s">
        <v>641</v>
      </c>
      <c r="C170" s="1183" t="s">
        <v>37</v>
      </c>
      <c r="D170" s="1183" t="s">
        <v>41</v>
      </c>
      <c r="E170" s="1174">
        <v>180</v>
      </c>
      <c r="F170" s="1174">
        <v>131</v>
      </c>
      <c r="G170" s="1290">
        <f t="shared" ref="G170:G174" si="23">(F170/E170)*100</f>
        <v>72.777777777777771</v>
      </c>
      <c r="H170" s="1174">
        <v>10000</v>
      </c>
      <c r="I170" s="1295">
        <f>63+4937.63</f>
        <v>5000.63</v>
      </c>
      <c r="J170" s="1298">
        <f t="shared" si="22"/>
        <v>50.006300000000003</v>
      </c>
    </row>
    <row r="171" spans="1:10" ht="25.5" x14ac:dyDescent="0.2">
      <c r="A171" s="1278">
        <v>4</v>
      </c>
      <c r="B171" s="1212" t="s">
        <v>642</v>
      </c>
      <c r="C171" s="1183" t="s">
        <v>37</v>
      </c>
      <c r="D171" s="1183" t="s">
        <v>676</v>
      </c>
      <c r="E171" s="1174">
        <v>3900</v>
      </c>
      <c r="F171" s="1174">
        <v>1017</v>
      </c>
      <c r="G171" s="1290">
        <f t="shared" si="23"/>
        <v>26.076923076923077</v>
      </c>
      <c r="H171" s="1174">
        <v>25419</v>
      </c>
      <c r="I171" s="1299">
        <v>12000</v>
      </c>
      <c r="J171" s="1298">
        <f t="shared" si="22"/>
        <v>47.208780833234982</v>
      </c>
    </row>
    <row r="172" spans="1:10" ht="18" customHeight="1" x14ac:dyDescent="0.2">
      <c r="A172" s="1278">
        <v>5</v>
      </c>
      <c r="B172" s="1212" t="s">
        <v>643</v>
      </c>
      <c r="C172" s="1183" t="s">
        <v>37</v>
      </c>
      <c r="D172" s="1183" t="s">
        <v>276</v>
      </c>
      <c r="E172" s="1174">
        <v>3600</v>
      </c>
      <c r="F172" s="1174">
        <v>900</v>
      </c>
      <c r="G172" s="1290">
        <f t="shared" si="23"/>
        <v>25</v>
      </c>
      <c r="H172" s="1174">
        <v>10000</v>
      </c>
      <c r="I172" s="1299">
        <v>4500</v>
      </c>
      <c r="J172" s="1298">
        <f t="shared" si="22"/>
        <v>45</v>
      </c>
    </row>
    <row r="173" spans="1:10" ht="19.5" customHeight="1" x14ac:dyDescent="0.2">
      <c r="A173" s="1278">
        <v>6</v>
      </c>
      <c r="B173" s="1212" t="s">
        <v>644</v>
      </c>
      <c r="C173" s="1183" t="s">
        <v>37</v>
      </c>
      <c r="D173" s="1183" t="s">
        <v>276</v>
      </c>
      <c r="E173" s="1174">
        <v>3900</v>
      </c>
      <c r="F173" s="1174">
        <v>1016</v>
      </c>
      <c r="G173" s="1290">
        <f t="shared" si="23"/>
        <v>26.051282051282048</v>
      </c>
      <c r="H173" s="1174">
        <v>20000</v>
      </c>
      <c r="I173" s="1299">
        <v>9000</v>
      </c>
      <c r="J173" s="1298">
        <f t="shared" si="22"/>
        <v>45</v>
      </c>
    </row>
    <row r="174" spans="1:10" ht="18.75" customHeight="1" x14ac:dyDescent="0.2">
      <c r="A174" s="1278">
        <v>7</v>
      </c>
      <c r="B174" s="1212" t="s">
        <v>645</v>
      </c>
      <c r="C174" s="1183" t="s">
        <v>37</v>
      </c>
      <c r="D174" s="1183" t="s">
        <v>41</v>
      </c>
      <c r="E174" s="1174">
        <v>3900</v>
      </c>
      <c r="F174" s="1174">
        <v>1016</v>
      </c>
      <c r="G174" s="1290">
        <f t="shared" si="23"/>
        <v>26.051282051282048</v>
      </c>
      <c r="H174" s="1174">
        <v>10000</v>
      </c>
      <c r="I174" s="1295">
        <v>5000</v>
      </c>
      <c r="J174" s="1277">
        <f t="shared" si="22"/>
        <v>50</v>
      </c>
    </row>
    <row r="175" spans="1:10" ht="18.75" customHeight="1" x14ac:dyDescent="0.2">
      <c r="A175" s="1278"/>
      <c r="B175" s="1643" t="s">
        <v>291</v>
      </c>
      <c r="C175" s="1183"/>
      <c r="D175" s="1183"/>
      <c r="E175" s="1174"/>
      <c r="F175" s="1174"/>
      <c r="G175" s="1290"/>
      <c r="H175" s="1164">
        <f>SUM(H176:H183)</f>
        <v>133059</v>
      </c>
      <c r="I175" s="1165">
        <f>SUM(I176:I183)</f>
        <v>72000</v>
      </c>
      <c r="J175" s="1293">
        <f>+I175/H175*100</f>
        <v>54.111334069848716</v>
      </c>
    </row>
    <row r="176" spans="1:10" ht="19.5" customHeight="1" x14ac:dyDescent="0.2">
      <c r="A176" s="1278">
        <v>1</v>
      </c>
      <c r="B176" s="1212" t="s">
        <v>646</v>
      </c>
      <c r="C176" s="1183" t="s">
        <v>37</v>
      </c>
      <c r="D176" s="1183" t="s">
        <v>41</v>
      </c>
      <c r="E176" s="1174">
        <v>1800</v>
      </c>
      <c r="F176" s="1174">
        <v>1340</v>
      </c>
      <c r="G176" s="1290">
        <f>(F176/E176)*100</f>
        <v>74.444444444444443</v>
      </c>
      <c r="H176" s="1174">
        <v>5000</v>
      </c>
      <c r="I176" s="1295">
        <v>3000</v>
      </c>
      <c r="J176" s="1277">
        <f>(I176/H176)*100</f>
        <v>60</v>
      </c>
    </row>
    <row r="177" spans="1:10" ht="17.25" customHeight="1" x14ac:dyDescent="0.2">
      <c r="A177" s="1278">
        <v>2</v>
      </c>
      <c r="B177" s="1212" t="s">
        <v>647</v>
      </c>
      <c r="C177" s="1183" t="s">
        <v>37</v>
      </c>
      <c r="D177" s="1183" t="s">
        <v>41</v>
      </c>
      <c r="E177" s="1174">
        <v>1200</v>
      </c>
      <c r="F177" s="1174">
        <v>1000</v>
      </c>
      <c r="G177" s="1290">
        <f>(F177/E177)*100</f>
        <v>83.333333333333343</v>
      </c>
      <c r="H177" s="1174">
        <v>20000</v>
      </c>
      <c r="I177" s="1295">
        <v>12000</v>
      </c>
      <c r="J177" s="1277">
        <f t="shared" ref="J177:J183" si="24">(I177/H177)*100</f>
        <v>60</v>
      </c>
    </row>
    <row r="178" spans="1:10" ht="38.25" x14ac:dyDescent="0.2">
      <c r="A178" s="1278">
        <v>3</v>
      </c>
      <c r="B178" s="1212" t="s">
        <v>648</v>
      </c>
      <c r="C178" s="1183" t="s">
        <v>37</v>
      </c>
      <c r="D178" s="1183" t="s">
        <v>640</v>
      </c>
      <c r="E178" s="1174">
        <v>1200</v>
      </c>
      <c r="F178" s="1174">
        <v>1000</v>
      </c>
      <c r="G178" s="1290">
        <f t="shared" ref="G178:G183" si="25">(F178/E178)*100</f>
        <v>83.333333333333343</v>
      </c>
      <c r="H178" s="1174">
        <v>60000</v>
      </c>
      <c r="I178" s="1295">
        <v>35000</v>
      </c>
      <c r="J178" s="1277">
        <f t="shared" si="24"/>
        <v>58.333333333333336</v>
      </c>
    </row>
    <row r="179" spans="1:10" ht="18.75" customHeight="1" x14ac:dyDescent="0.2">
      <c r="A179" s="1278">
        <v>4</v>
      </c>
      <c r="B179" s="1212" t="s">
        <v>649</v>
      </c>
      <c r="C179" s="1183" t="s">
        <v>37</v>
      </c>
      <c r="D179" s="1183" t="s">
        <v>41</v>
      </c>
      <c r="E179" s="1174">
        <v>30</v>
      </c>
      <c r="F179" s="1174">
        <v>16</v>
      </c>
      <c r="G179" s="1290">
        <f t="shared" si="25"/>
        <v>53.333333333333336</v>
      </c>
      <c r="H179" s="1174">
        <v>5000</v>
      </c>
      <c r="I179" s="1295">
        <v>2500</v>
      </c>
      <c r="J179" s="1277">
        <f t="shared" si="24"/>
        <v>50</v>
      </c>
    </row>
    <row r="180" spans="1:10" ht="24.75" customHeight="1" x14ac:dyDescent="0.2">
      <c r="A180" s="1278">
        <v>5</v>
      </c>
      <c r="B180" s="1212" t="s">
        <v>650</v>
      </c>
      <c r="C180" s="1183" t="s">
        <v>37</v>
      </c>
      <c r="D180" s="1183" t="s">
        <v>2004</v>
      </c>
      <c r="E180" s="1174">
        <v>1300</v>
      </c>
      <c r="F180" s="1174">
        <v>582</v>
      </c>
      <c r="G180" s="1290">
        <f t="shared" si="25"/>
        <v>44.769230769230766</v>
      </c>
      <c r="H180" s="1174">
        <v>21000</v>
      </c>
      <c r="I180" s="1295">
        <v>10000</v>
      </c>
      <c r="J180" s="1277">
        <f t="shared" si="24"/>
        <v>47.619047619047613</v>
      </c>
    </row>
    <row r="181" spans="1:10" ht="14.25" customHeight="1" x14ac:dyDescent="0.2">
      <c r="A181" s="1278">
        <v>6</v>
      </c>
      <c r="B181" s="1212" t="s">
        <v>643</v>
      </c>
      <c r="C181" s="1183" t="s">
        <v>37</v>
      </c>
      <c r="D181" s="1183" t="s">
        <v>276</v>
      </c>
      <c r="E181" s="1174">
        <v>1000</v>
      </c>
      <c r="F181" s="1174">
        <v>570</v>
      </c>
      <c r="G181" s="1290">
        <f t="shared" si="25"/>
        <v>56.999999999999993</v>
      </c>
      <c r="H181" s="1174">
        <v>5000</v>
      </c>
      <c r="I181" s="1295">
        <v>3000</v>
      </c>
      <c r="J181" s="1277">
        <f t="shared" si="24"/>
        <v>60</v>
      </c>
    </row>
    <row r="182" spans="1:10" ht="17.25" customHeight="1" x14ac:dyDescent="0.2">
      <c r="A182" s="1278">
        <v>7</v>
      </c>
      <c r="B182" s="1212" t="s">
        <v>651</v>
      </c>
      <c r="C182" s="1183" t="s">
        <v>37</v>
      </c>
      <c r="D182" s="1183" t="s">
        <v>276</v>
      </c>
      <c r="E182" s="1174">
        <v>1300</v>
      </c>
      <c r="F182" s="1174">
        <v>582</v>
      </c>
      <c r="G182" s="1290">
        <f t="shared" si="25"/>
        <v>44.769230769230766</v>
      </c>
      <c r="H182" s="1174">
        <v>11000</v>
      </c>
      <c r="I182" s="1295">
        <v>5000</v>
      </c>
      <c r="J182" s="1277">
        <f t="shared" si="24"/>
        <v>45.454545454545453</v>
      </c>
    </row>
    <row r="183" spans="1:10" ht="18.75" customHeight="1" x14ac:dyDescent="0.2">
      <c r="A183" s="1278">
        <v>8</v>
      </c>
      <c r="B183" s="1212" t="s">
        <v>645</v>
      </c>
      <c r="C183" s="1183" t="s">
        <v>37</v>
      </c>
      <c r="D183" s="1183" t="s">
        <v>41</v>
      </c>
      <c r="E183" s="1174">
        <v>1300</v>
      </c>
      <c r="F183" s="1174">
        <v>582</v>
      </c>
      <c r="G183" s="1290">
        <f t="shared" si="25"/>
        <v>44.769230769230766</v>
      </c>
      <c r="H183" s="1174">
        <v>6059</v>
      </c>
      <c r="I183" s="1295">
        <v>1500</v>
      </c>
      <c r="J183" s="1277">
        <f t="shared" si="24"/>
        <v>24.756560488529463</v>
      </c>
    </row>
    <row r="184" spans="1:10" ht="15.75" customHeight="1" x14ac:dyDescent="0.2">
      <c r="A184" s="1278"/>
      <c r="B184" s="1159" t="s">
        <v>288</v>
      </c>
      <c r="C184" s="1183"/>
      <c r="D184" s="1183"/>
      <c r="E184" s="1174"/>
      <c r="F184" s="1186"/>
      <c r="G184" s="1290"/>
      <c r="H184" s="1164">
        <f>SUM(H185:H190)</f>
        <v>120723</v>
      </c>
      <c r="I184" s="1165">
        <f>SUM(I185:I190)</f>
        <v>47500</v>
      </c>
      <c r="J184" s="1293">
        <f>+I184/H184*100</f>
        <v>39.346272044266627</v>
      </c>
    </row>
    <row r="185" spans="1:10" ht="18.75" customHeight="1" x14ac:dyDescent="0.2">
      <c r="A185" s="1278">
        <v>1</v>
      </c>
      <c r="B185" s="1212" t="s">
        <v>652</v>
      </c>
      <c r="C185" s="1183" t="s">
        <v>37</v>
      </c>
      <c r="D185" s="1183" t="s">
        <v>653</v>
      </c>
      <c r="E185" s="1174">
        <v>1</v>
      </c>
      <c r="F185" s="1186">
        <v>0.5</v>
      </c>
      <c r="G185" s="1290">
        <f>(F185/E185)*100</f>
        <v>50</v>
      </c>
      <c r="H185" s="1174">
        <v>10000</v>
      </c>
      <c r="I185" s="1295">
        <v>5500</v>
      </c>
      <c r="J185" s="1298">
        <f>(I185/H185)*100</f>
        <v>55.000000000000007</v>
      </c>
    </row>
    <row r="186" spans="1:10" ht="25.5" x14ac:dyDescent="0.2">
      <c r="A186" s="1278">
        <v>2</v>
      </c>
      <c r="B186" s="1212" t="s">
        <v>654</v>
      </c>
      <c r="C186" s="1183" t="s">
        <v>37</v>
      </c>
      <c r="D186" s="1183" t="s">
        <v>655</v>
      </c>
      <c r="E186" s="1174">
        <f>83+65+3+8+2</f>
        <v>161</v>
      </c>
      <c r="F186" s="1174">
        <v>52</v>
      </c>
      <c r="G186" s="1290">
        <f t="shared" ref="G186:G190" si="26">(F186/E186)*100</f>
        <v>32.298136645962735</v>
      </c>
      <c r="H186" s="1174">
        <v>30000</v>
      </c>
      <c r="I186" s="1295">
        <v>15000</v>
      </c>
      <c r="J186" s="1298">
        <f t="shared" ref="J186:J190" si="27">(I186/H186)*100</f>
        <v>50</v>
      </c>
    </row>
    <row r="187" spans="1:10" ht="15" customHeight="1" x14ac:dyDescent="0.2">
      <c r="A187" s="1278">
        <v>3</v>
      </c>
      <c r="B187" s="1212" t="s">
        <v>656</v>
      </c>
      <c r="C187" s="1183" t="s">
        <v>37</v>
      </c>
      <c r="D187" s="1183" t="s">
        <v>657</v>
      </c>
      <c r="E187" s="1174">
        <v>161</v>
      </c>
      <c r="F187" s="1174">
        <v>52</v>
      </c>
      <c r="G187" s="1290">
        <f t="shared" si="26"/>
        <v>32.298136645962735</v>
      </c>
      <c r="H187" s="1174">
        <v>10000</v>
      </c>
      <c r="I187" s="1295">
        <v>3000</v>
      </c>
      <c r="J187" s="1298">
        <f t="shared" si="27"/>
        <v>30</v>
      </c>
    </row>
    <row r="188" spans="1:10" ht="18.75" customHeight="1" x14ac:dyDescent="0.2">
      <c r="A188" s="1278">
        <v>4</v>
      </c>
      <c r="B188" s="1212" t="s">
        <v>658</v>
      </c>
      <c r="C188" s="1183" t="s">
        <v>37</v>
      </c>
      <c r="D188" s="1183" t="s">
        <v>41</v>
      </c>
      <c r="E188" s="1174">
        <v>600</v>
      </c>
      <c r="F188" s="1174">
        <v>300</v>
      </c>
      <c r="G188" s="1290">
        <f t="shared" si="26"/>
        <v>50</v>
      </c>
      <c r="H188" s="1174">
        <v>10000</v>
      </c>
      <c r="I188" s="1295">
        <v>3000</v>
      </c>
      <c r="J188" s="1298">
        <f t="shared" si="27"/>
        <v>30</v>
      </c>
    </row>
    <row r="189" spans="1:10" ht="25.5" x14ac:dyDescent="0.2">
      <c r="A189" s="1278">
        <v>5</v>
      </c>
      <c r="B189" s="1212" t="s">
        <v>659</v>
      </c>
      <c r="C189" s="1183" t="s">
        <v>37</v>
      </c>
      <c r="D189" s="1183" t="s">
        <v>660</v>
      </c>
      <c r="E189" s="1174">
        <v>161</v>
      </c>
      <c r="F189" s="1174">
        <v>42</v>
      </c>
      <c r="G189" s="1290">
        <f t="shared" si="26"/>
        <v>26.086956521739129</v>
      </c>
      <c r="H189" s="1174">
        <v>50723</v>
      </c>
      <c r="I189" s="1295">
        <v>18000</v>
      </c>
      <c r="J189" s="1298">
        <f t="shared" si="27"/>
        <v>35.486860004337281</v>
      </c>
    </row>
    <row r="190" spans="1:10" ht="25.5" x14ac:dyDescent="0.2">
      <c r="A190" s="1278">
        <v>6</v>
      </c>
      <c r="B190" s="1212" t="s">
        <v>661</v>
      </c>
      <c r="C190" s="1183" t="s">
        <v>37</v>
      </c>
      <c r="D190" s="1183" t="s">
        <v>41</v>
      </c>
      <c r="E190" s="1174">
        <v>161</v>
      </c>
      <c r="F190" s="1174">
        <v>42</v>
      </c>
      <c r="G190" s="1290">
        <f t="shared" si="26"/>
        <v>26.086956521739129</v>
      </c>
      <c r="H190" s="1174">
        <v>10000</v>
      </c>
      <c r="I190" s="1295">
        <v>3000</v>
      </c>
      <c r="J190" s="1298">
        <f t="shared" si="27"/>
        <v>30</v>
      </c>
    </row>
    <row r="191" spans="1:10" ht="15.75" customHeight="1" x14ac:dyDescent="0.2">
      <c r="A191" s="1187"/>
      <c r="B191" s="1159" t="s">
        <v>289</v>
      </c>
      <c r="C191" s="1183"/>
      <c r="D191" s="1183"/>
      <c r="E191" s="1174"/>
      <c r="F191" s="1174"/>
      <c r="G191" s="1290"/>
      <c r="H191" s="1164">
        <f>SUM(H192:H195)</f>
        <v>57932</v>
      </c>
      <c r="I191" s="1165">
        <f>SUM(I192:I195)</f>
        <v>28000</v>
      </c>
      <c r="J191" s="1293">
        <f>+I191/H191*100</f>
        <v>48.332527791203475</v>
      </c>
    </row>
    <row r="192" spans="1:10" ht="18.75" customHeight="1" x14ac:dyDescent="0.2">
      <c r="A192" s="1187">
        <v>1</v>
      </c>
      <c r="B192" s="1212" t="s">
        <v>662</v>
      </c>
      <c r="C192" s="1183" t="s">
        <v>37</v>
      </c>
      <c r="D192" s="1183" t="s">
        <v>41</v>
      </c>
      <c r="E192" s="1174">
        <v>1300</v>
      </c>
      <c r="F192" s="1174">
        <v>420</v>
      </c>
      <c r="G192" s="1290">
        <f>(F192/E192)*100</f>
        <v>32.307692307692307</v>
      </c>
      <c r="H192" s="1174">
        <v>17183</v>
      </c>
      <c r="I192" s="1295">
        <v>6000</v>
      </c>
      <c r="J192" s="1277">
        <f>(I192/H192)*100</f>
        <v>34.918233137403249</v>
      </c>
    </row>
    <row r="193" spans="1:10" ht="18.75" customHeight="1" x14ac:dyDescent="0.2">
      <c r="A193" s="1187">
        <v>2</v>
      </c>
      <c r="B193" s="1212" t="s">
        <v>663</v>
      </c>
      <c r="C193" s="1183" t="s">
        <v>37</v>
      </c>
      <c r="D193" s="1183" t="s">
        <v>664</v>
      </c>
      <c r="E193" s="1174">
        <v>1600</v>
      </c>
      <c r="F193" s="1174">
        <v>900</v>
      </c>
      <c r="G193" s="1290">
        <f t="shared" ref="G193:G195" si="28">(F193/E193)*100</f>
        <v>56.25</v>
      </c>
      <c r="H193" s="1174">
        <v>17183</v>
      </c>
      <c r="I193" s="1295">
        <v>10000</v>
      </c>
      <c r="J193" s="1277">
        <f t="shared" ref="J193:J195" si="29">(I193/H193)*100</f>
        <v>58.197055229005414</v>
      </c>
    </row>
    <row r="194" spans="1:10" ht="18.75" customHeight="1" x14ac:dyDescent="0.2">
      <c r="A194" s="1187">
        <v>3</v>
      </c>
      <c r="B194" s="1212" t="s">
        <v>665</v>
      </c>
      <c r="C194" s="1183" t="s">
        <v>37</v>
      </c>
      <c r="D194" s="1183" t="s">
        <v>41</v>
      </c>
      <c r="E194" s="1174">
        <v>1</v>
      </c>
      <c r="F194" s="1174">
        <v>0.5</v>
      </c>
      <c r="G194" s="1290">
        <f t="shared" si="28"/>
        <v>50</v>
      </c>
      <c r="H194" s="1174">
        <v>11783</v>
      </c>
      <c r="I194" s="1295">
        <v>6000</v>
      </c>
      <c r="J194" s="1277">
        <f t="shared" si="29"/>
        <v>50.920818127811252</v>
      </c>
    </row>
    <row r="195" spans="1:10" ht="18.75" customHeight="1" x14ac:dyDescent="0.2">
      <c r="A195" s="1187">
        <v>4</v>
      </c>
      <c r="B195" s="1212" t="s">
        <v>666</v>
      </c>
      <c r="C195" s="1183" t="s">
        <v>37</v>
      </c>
      <c r="D195" s="1183" t="s">
        <v>667</v>
      </c>
      <c r="E195" s="1174">
        <v>12</v>
      </c>
      <c r="F195" s="1174">
        <v>6</v>
      </c>
      <c r="G195" s="1290">
        <f t="shared" si="28"/>
        <v>50</v>
      </c>
      <c r="H195" s="1174">
        <v>11783</v>
      </c>
      <c r="I195" s="1295">
        <v>6000</v>
      </c>
      <c r="J195" s="1277">
        <f t="shared" si="29"/>
        <v>50.920818127811252</v>
      </c>
    </row>
    <row r="196" spans="1:10" ht="18.75" customHeight="1" x14ac:dyDescent="0.2">
      <c r="A196" s="1300"/>
      <c r="B196" s="1301" t="s">
        <v>668</v>
      </c>
      <c r="C196" s="1183"/>
      <c r="D196" s="1274"/>
      <c r="E196" s="1275"/>
      <c r="F196" s="1275"/>
      <c r="G196" s="1277"/>
      <c r="H196" s="1258">
        <f>SUM(H197:H205)</f>
        <v>1015000</v>
      </c>
      <c r="I196" s="1259">
        <f>SUM(I197:I205)</f>
        <v>434852</v>
      </c>
      <c r="J196" s="1293">
        <f>+I196/H196*100</f>
        <v>42.842561576354683</v>
      </c>
    </row>
    <row r="197" spans="1:10" ht="18.75" customHeight="1" x14ac:dyDescent="0.2">
      <c r="A197" s="1300">
        <v>1</v>
      </c>
      <c r="B197" s="1302" t="s">
        <v>669</v>
      </c>
      <c r="C197" s="1183" t="s">
        <v>37</v>
      </c>
      <c r="D197" s="1274" t="s">
        <v>41</v>
      </c>
      <c r="E197" s="127">
        <v>4500</v>
      </c>
      <c r="F197" s="1275">
        <f>F168+F176</f>
        <v>2453</v>
      </c>
      <c r="G197" s="1277">
        <f>(F197/E197)*100</f>
        <v>54.511111111111113</v>
      </c>
      <c r="H197" s="1275">
        <v>19798</v>
      </c>
      <c r="I197" s="1295">
        <v>10000</v>
      </c>
      <c r="J197" s="1277">
        <f>(I197/H197)*100</f>
        <v>50.51015254066067</v>
      </c>
    </row>
    <row r="198" spans="1:10" ht="18.75" customHeight="1" x14ac:dyDescent="0.2">
      <c r="A198" s="1300">
        <v>2</v>
      </c>
      <c r="B198" s="1302" t="s">
        <v>670</v>
      </c>
      <c r="C198" s="1183" t="s">
        <v>37</v>
      </c>
      <c r="D198" s="1274" t="s">
        <v>671</v>
      </c>
      <c r="E198" s="1303">
        <f>161+10+180</f>
        <v>351</v>
      </c>
      <c r="F198" s="1275">
        <f>F170+F179</f>
        <v>147</v>
      </c>
      <c r="G198" s="1277">
        <f t="shared" ref="G198:G205" si="30">(F198/E198)*100</f>
        <v>41.880341880341881</v>
      </c>
      <c r="H198" s="1275">
        <v>18624</v>
      </c>
      <c r="I198" s="1295">
        <v>8500</v>
      </c>
      <c r="J198" s="1277">
        <f t="shared" ref="J198:J205" si="31">(I198/H198)*100</f>
        <v>45.640034364261169</v>
      </c>
    </row>
    <row r="199" spans="1:10" ht="25.5" x14ac:dyDescent="0.2">
      <c r="A199" s="1300">
        <v>3</v>
      </c>
      <c r="B199" s="1304" t="s">
        <v>672</v>
      </c>
      <c r="C199" s="1183" t="s">
        <v>37</v>
      </c>
      <c r="D199" s="1274" t="s">
        <v>41</v>
      </c>
      <c r="E199" s="127">
        <v>33</v>
      </c>
      <c r="F199" s="1275">
        <v>18</v>
      </c>
      <c r="G199" s="1277">
        <f t="shared" si="30"/>
        <v>54.54545454545454</v>
      </c>
      <c r="H199" s="1275">
        <v>427252</v>
      </c>
      <c r="I199" s="1295">
        <v>153852</v>
      </c>
      <c r="J199" s="1277">
        <f t="shared" si="31"/>
        <v>36.009661745293172</v>
      </c>
    </row>
    <row r="200" spans="1:10" ht="18" customHeight="1" x14ac:dyDescent="0.2">
      <c r="A200" s="1300">
        <v>4</v>
      </c>
      <c r="B200" s="1302" t="s">
        <v>673</v>
      </c>
      <c r="C200" s="1183" t="s">
        <v>37</v>
      </c>
      <c r="D200" s="1274" t="s">
        <v>41</v>
      </c>
      <c r="E200" s="1303">
        <v>5</v>
      </c>
      <c r="F200" s="1295">
        <v>2.5</v>
      </c>
      <c r="G200" s="1277">
        <f t="shared" si="30"/>
        <v>50</v>
      </c>
      <c r="H200" s="1275">
        <v>88374</v>
      </c>
      <c r="I200" s="1295">
        <v>44000</v>
      </c>
      <c r="J200" s="1277">
        <f t="shared" si="31"/>
        <v>49.788399302962411</v>
      </c>
    </row>
    <row r="201" spans="1:10" ht="25.5" x14ac:dyDescent="0.2">
      <c r="A201" s="1300">
        <v>5</v>
      </c>
      <c r="B201" s="1304" t="s">
        <v>674</v>
      </c>
      <c r="C201" s="1183" t="s">
        <v>37</v>
      </c>
      <c r="D201" s="1274" t="s">
        <v>41</v>
      </c>
      <c r="E201" s="1303">
        <v>1</v>
      </c>
      <c r="F201" s="1295">
        <v>0.5</v>
      </c>
      <c r="G201" s="1277">
        <f t="shared" si="30"/>
        <v>50</v>
      </c>
      <c r="H201" s="1275">
        <v>264514</v>
      </c>
      <c r="I201" s="1295">
        <v>132000</v>
      </c>
      <c r="J201" s="1277">
        <f t="shared" si="31"/>
        <v>49.902840681400605</v>
      </c>
    </row>
    <row r="202" spans="1:10" ht="25.5" x14ac:dyDescent="0.2">
      <c r="A202" s="1300">
        <v>5</v>
      </c>
      <c r="B202" s="1304" t="s">
        <v>675</v>
      </c>
      <c r="C202" s="1274" t="s">
        <v>37</v>
      </c>
      <c r="D202" s="1274" t="s">
        <v>41</v>
      </c>
      <c r="E202" s="1303">
        <v>1</v>
      </c>
      <c r="F202" s="1295">
        <v>0.5</v>
      </c>
      <c r="G202" s="1277">
        <f t="shared" si="30"/>
        <v>50</v>
      </c>
      <c r="H202" s="1275">
        <v>182263</v>
      </c>
      <c r="I202" s="1295">
        <v>85000</v>
      </c>
      <c r="J202" s="1277">
        <f t="shared" si="31"/>
        <v>46.635905257786824</v>
      </c>
    </row>
    <row r="203" spans="1:10" ht="25.5" x14ac:dyDescent="0.2">
      <c r="A203" s="1300">
        <v>7</v>
      </c>
      <c r="B203" s="1178" t="s">
        <v>2005</v>
      </c>
      <c r="C203" s="1274" t="s">
        <v>37</v>
      </c>
      <c r="D203" s="1274" t="s">
        <v>41</v>
      </c>
      <c r="E203" s="1303">
        <v>3</v>
      </c>
      <c r="F203" s="1275">
        <v>0</v>
      </c>
      <c r="G203" s="1277">
        <f t="shared" si="30"/>
        <v>0</v>
      </c>
      <c r="H203" s="1275">
        <v>0</v>
      </c>
      <c r="I203" s="1295">
        <v>0</v>
      </c>
      <c r="J203" s="1277">
        <v>0</v>
      </c>
    </row>
    <row r="204" spans="1:10" ht="18.75" customHeight="1" x14ac:dyDescent="0.2">
      <c r="A204" s="1300">
        <v>9</v>
      </c>
      <c r="B204" s="1305" t="s">
        <v>2006</v>
      </c>
      <c r="C204" s="1274" t="s">
        <v>37</v>
      </c>
      <c r="D204" s="1274" t="s">
        <v>41</v>
      </c>
      <c r="E204" s="1303">
        <v>1</v>
      </c>
      <c r="F204" s="1275">
        <v>0</v>
      </c>
      <c r="G204" s="1277">
        <f>(F204/E204)*100</f>
        <v>0</v>
      </c>
      <c r="H204" s="1275">
        <v>6175</v>
      </c>
      <c r="I204" s="1295">
        <v>0</v>
      </c>
      <c r="J204" s="1277">
        <f t="shared" si="31"/>
        <v>0</v>
      </c>
    </row>
    <row r="205" spans="1:10" ht="18.75" customHeight="1" x14ac:dyDescent="0.2">
      <c r="A205" s="1300">
        <v>10</v>
      </c>
      <c r="B205" s="1305" t="s">
        <v>2007</v>
      </c>
      <c r="C205" s="1274" t="s">
        <v>37</v>
      </c>
      <c r="D205" s="1274" t="s">
        <v>41</v>
      </c>
      <c r="E205" s="1303">
        <v>1</v>
      </c>
      <c r="F205" s="1295">
        <v>0.2</v>
      </c>
      <c r="G205" s="1277">
        <f t="shared" si="30"/>
        <v>20</v>
      </c>
      <c r="H205" s="1275">
        <v>8000</v>
      </c>
      <c r="I205" s="1295">
        <v>1500</v>
      </c>
      <c r="J205" s="1232">
        <f t="shared" si="31"/>
        <v>18.75</v>
      </c>
    </row>
    <row r="206" spans="1:10" ht="18.75" customHeight="1" x14ac:dyDescent="0.2">
      <c r="A206" s="1306" t="s">
        <v>379</v>
      </c>
      <c r="B206" s="1307"/>
      <c r="C206" s="1308"/>
      <c r="D206" s="1309"/>
      <c r="E206" s="1310"/>
      <c r="F206" s="1310"/>
      <c r="G206" s="1311"/>
      <c r="H206" s="1312">
        <f>+H207+H219+H236</f>
        <v>4769614</v>
      </c>
      <c r="I206" s="1234">
        <f>+I207+I219+I236</f>
        <v>421319.51</v>
      </c>
      <c r="J206" s="1313">
        <f>+I206/H206*100</f>
        <v>8.8334089509130091</v>
      </c>
    </row>
    <row r="207" spans="1:10" ht="18.75" customHeight="1" x14ac:dyDescent="0.2">
      <c r="A207" s="1278"/>
      <c r="B207" s="1159" t="s">
        <v>381</v>
      </c>
      <c r="C207" s="1314"/>
      <c r="D207" s="1315"/>
      <c r="E207" s="1316"/>
      <c r="F207" s="1316"/>
      <c r="G207" s="1317"/>
      <c r="H207" s="1258">
        <f>SUM(H208:H218)</f>
        <v>38108</v>
      </c>
      <c r="I207" s="1259">
        <f>SUM(I208:I218)</f>
        <v>10891.91</v>
      </c>
      <c r="J207" s="1293">
        <f>+I207/H207*100</f>
        <v>28.581688884223784</v>
      </c>
    </row>
    <row r="208" spans="1:10" ht="25.5" x14ac:dyDescent="0.2">
      <c r="A208" s="1278">
        <v>1</v>
      </c>
      <c r="B208" s="1212" t="s">
        <v>2008</v>
      </c>
      <c r="C208" s="1318" t="s">
        <v>32</v>
      </c>
      <c r="D208" s="1319" t="s">
        <v>112</v>
      </c>
      <c r="E208" s="1184">
        <v>6</v>
      </c>
      <c r="F208" s="1184">
        <v>4</v>
      </c>
      <c r="G208" s="1320">
        <f>+F208/E208*100</f>
        <v>66.666666666666657</v>
      </c>
      <c r="H208" s="1275">
        <v>4500</v>
      </c>
      <c r="I208" s="1295">
        <v>990</v>
      </c>
      <c r="J208" s="1277">
        <f>+I208/H208*100</f>
        <v>22</v>
      </c>
    </row>
    <row r="209" spans="1:10" ht="21" customHeight="1" x14ac:dyDescent="0.2">
      <c r="A209" s="1278">
        <v>2</v>
      </c>
      <c r="B209" s="1278" t="s">
        <v>2009</v>
      </c>
      <c r="C209" s="1321" t="s">
        <v>32</v>
      </c>
      <c r="D209" s="1322" t="s">
        <v>112</v>
      </c>
      <c r="E209" s="1323">
        <v>2</v>
      </c>
      <c r="F209" s="1323">
        <v>1</v>
      </c>
      <c r="G209" s="1324">
        <f t="shared" ref="G209:G218" si="32">+F209/E209*100</f>
        <v>50</v>
      </c>
      <c r="H209" s="1275">
        <v>2500</v>
      </c>
      <c r="I209" s="1295">
        <v>1032</v>
      </c>
      <c r="J209" s="1277">
        <f t="shared" ref="J209:J218" si="33">+I209/H209*100</f>
        <v>41.28</v>
      </c>
    </row>
    <row r="210" spans="1:10" ht="25.5" x14ac:dyDescent="0.2">
      <c r="A210" s="1278">
        <v>3</v>
      </c>
      <c r="B210" s="1644" t="s">
        <v>2010</v>
      </c>
      <c r="C210" s="1321" t="s">
        <v>32</v>
      </c>
      <c r="D210" s="1322" t="s">
        <v>112</v>
      </c>
      <c r="E210" s="1323">
        <v>6</v>
      </c>
      <c r="F210" s="1323">
        <v>5</v>
      </c>
      <c r="G210" s="1324">
        <f t="shared" si="32"/>
        <v>83.333333333333343</v>
      </c>
      <c r="H210" s="1275">
        <v>2500</v>
      </c>
      <c r="I210" s="1295">
        <v>1000</v>
      </c>
      <c r="J210" s="1277">
        <f t="shared" si="33"/>
        <v>40</v>
      </c>
    </row>
    <row r="211" spans="1:10" ht="18.75" customHeight="1" x14ac:dyDescent="0.2">
      <c r="A211" s="1278">
        <v>4</v>
      </c>
      <c r="B211" s="1228" t="s">
        <v>2011</v>
      </c>
      <c r="C211" s="1321" t="s">
        <v>32</v>
      </c>
      <c r="D211" s="1322" t="s">
        <v>112</v>
      </c>
      <c r="E211" s="1325">
        <v>1</v>
      </c>
      <c r="F211" s="1325">
        <v>1</v>
      </c>
      <c r="G211" s="1324">
        <f t="shared" si="32"/>
        <v>100</v>
      </c>
      <c r="H211" s="1275">
        <v>5000</v>
      </c>
      <c r="I211" s="1295">
        <v>999.91</v>
      </c>
      <c r="J211" s="1277">
        <f t="shared" si="33"/>
        <v>19.998200000000001</v>
      </c>
    </row>
    <row r="212" spans="1:10" ht="18.75" customHeight="1" x14ac:dyDescent="0.2">
      <c r="A212" s="1278">
        <v>5</v>
      </c>
      <c r="B212" s="1228" t="s">
        <v>2012</v>
      </c>
      <c r="C212" s="1321" t="s">
        <v>32</v>
      </c>
      <c r="D212" s="1322" t="s">
        <v>112</v>
      </c>
      <c r="E212" s="1325">
        <v>5</v>
      </c>
      <c r="F212" s="1325">
        <v>5</v>
      </c>
      <c r="G212" s="1324">
        <f t="shared" si="32"/>
        <v>100</v>
      </c>
      <c r="H212" s="1275">
        <v>3456</v>
      </c>
      <c r="I212" s="1295">
        <v>1000</v>
      </c>
      <c r="J212" s="1277">
        <f t="shared" si="33"/>
        <v>28.935185185185187</v>
      </c>
    </row>
    <row r="213" spans="1:10" ht="18.75" customHeight="1" x14ac:dyDescent="0.2">
      <c r="A213" s="1278">
        <v>6</v>
      </c>
      <c r="B213" s="1228" t="s">
        <v>2013</v>
      </c>
      <c r="C213" s="1321" t="s">
        <v>32</v>
      </c>
      <c r="D213" s="1322" t="s">
        <v>75</v>
      </c>
      <c r="E213" s="1325">
        <v>3</v>
      </c>
      <c r="F213" s="1325">
        <v>3</v>
      </c>
      <c r="G213" s="1324">
        <f t="shared" si="32"/>
        <v>100</v>
      </c>
      <c r="H213" s="1275">
        <v>2458</v>
      </c>
      <c r="I213" s="1295">
        <v>1000</v>
      </c>
      <c r="J213" s="1277">
        <f t="shared" si="33"/>
        <v>40.683482506102528</v>
      </c>
    </row>
    <row r="214" spans="1:10" ht="18.75" customHeight="1" x14ac:dyDescent="0.2">
      <c r="A214" s="1278">
        <v>7</v>
      </c>
      <c r="B214" s="1228" t="s">
        <v>2014</v>
      </c>
      <c r="C214" s="1321" t="s">
        <v>32</v>
      </c>
      <c r="D214" s="1322" t="s">
        <v>75</v>
      </c>
      <c r="E214" s="1325">
        <v>5</v>
      </c>
      <c r="F214" s="1325">
        <v>1</v>
      </c>
      <c r="G214" s="1324">
        <f t="shared" si="32"/>
        <v>20</v>
      </c>
      <c r="H214" s="1275">
        <v>2450</v>
      </c>
      <c r="I214" s="1295">
        <v>870</v>
      </c>
      <c r="J214" s="1277">
        <f t="shared" si="33"/>
        <v>35.510204081632651</v>
      </c>
    </row>
    <row r="215" spans="1:10" ht="18.75" customHeight="1" x14ac:dyDescent="0.2">
      <c r="A215" s="1278">
        <v>8</v>
      </c>
      <c r="B215" s="1228" t="s">
        <v>2015</v>
      </c>
      <c r="C215" s="1321" t="s">
        <v>32</v>
      </c>
      <c r="D215" s="1322" t="s">
        <v>112</v>
      </c>
      <c r="E215" s="1325">
        <v>10</v>
      </c>
      <c r="F215" s="1325">
        <v>10</v>
      </c>
      <c r="G215" s="1324">
        <f t="shared" si="32"/>
        <v>100</v>
      </c>
      <c r="H215" s="1275">
        <v>5000</v>
      </c>
      <c r="I215" s="1295">
        <v>1000</v>
      </c>
      <c r="J215" s="1277">
        <f t="shared" si="33"/>
        <v>20</v>
      </c>
    </row>
    <row r="216" spans="1:10" ht="15" customHeight="1" x14ac:dyDescent="0.2">
      <c r="A216" s="1278">
        <v>10</v>
      </c>
      <c r="B216" s="1228" t="s">
        <v>2016</v>
      </c>
      <c r="C216" s="1321" t="s">
        <v>32</v>
      </c>
      <c r="D216" s="1322" t="s">
        <v>59</v>
      </c>
      <c r="E216" s="1325">
        <v>2</v>
      </c>
      <c r="F216" s="1325">
        <v>2</v>
      </c>
      <c r="G216" s="1324">
        <f t="shared" si="32"/>
        <v>100</v>
      </c>
      <c r="H216" s="1275">
        <v>2744</v>
      </c>
      <c r="I216" s="1295">
        <v>1000</v>
      </c>
      <c r="J216" s="1277">
        <f t="shared" si="33"/>
        <v>36.443148688046648</v>
      </c>
    </row>
    <row r="217" spans="1:10" ht="15.75" customHeight="1" x14ac:dyDescent="0.2">
      <c r="A217" s="1187">
        <v>11</v>
      </c>
      <c r="B217" s="1228" t="s">
        <v>2017</v>
      </c>
      <c r="C217" s="1321" t="s">
        <v>32</v>
      </c>
      <c r="D217" s="1322" t="s">
        <v>2018</v>
      </c>
      <c r="E217" s="1325">
        <v>10</v>
      </c>
      <c r="F217" s="1325">
        <v>0</v>
      </c>
      <c r="G217" s="1324">
        <f t="shared" si="32"/>
        <v>0</v>
      </c>
      <c r="H217" s="1275">
        <v>1000</v>
      </c>
      <c r="I217" s="1295">
        <v>1000</v>
      </c>
      <c r="J217" s="1277">
        <f t="shared" si="33"/>
        <v>100</v>
      </c>
    </row>
    <row r="218" spans="1:10" ht="25.5" x14ac:dyDescent="0.2">
      <c r="A218" s="943">
        <v>12</v>
      </c>
      <c r="B218" s="1228" t="s">
        <v>2019</v>
      </c>
      <c r="C218" s="1321" t="s">
        <v>32</v>
      </c>
      <c r="D218" s="1326" t="s">
        <v>2020</v>
      </c>
      <c r="E218" s="1203">
        <v>1</v>
      </c>
      <c r="F218" s="1203">
        <v>1</v>
      </c>
      <c r="G218" s="1324">
        <f t="shared" si="32"/>
        <v>100</v>
      </c>
      <c r="H218" s="1275">
        <v>6500</v>
      </c>
      <c r="I218" s="1295">
        <v>1000</v>
      </c>
      <c r="J218" s="1277">
        <f t="shared" si="33"/>
        <v>15.384615384615385</v>
      </c>
    </row>
    <row r="219" spans="1:10" ht="19.5" customHeight="1" x14ac:dyDescent="0.2">
      <c r="A219" s="1327"/>
      <c r="B219" s="1192" t="s">
        <v>292</v>
      </c>
      <c r="C219" s="1254"/>
      <c r="D219" s="1255"/>
      <c r="E219" s="1328"/>
      <c r="F219" s="1328"/>
      <c r="G219" s="1328"/>
      <c r="H219" s="1258">
        <f>SUM(H220:H235)</f>
        <v>561099</v>
      </c>
      <c r="I219" s="1259">
        <f>SUM(I220:I235)</f>
        <v>257715.43</v>
      </c>
      <c r="J219" s="2269">
        <f>I219/H219*100</f>
        <v>45.930473944883168</v>
      </c>
    </row>
    <row r="220" spans="1:10" ht="18.75" customHeight="1" x14ac:dyDescent="0.2">
      <c r="A220" s="1187">
        <v>1</v>
      </c>
      <c r="B220" s="1231" t="s">
        <v>2022</v>
      </c>
      <c r="C220" s="1322" t="s">
        <v>32</v>
      </c>
      <c r="D220" s="1647" t="s">
        <v>75</v>
      </c>
      <c r="E220" s="1203">
        <v>76</v>
      </c>
      <c r="F220" s="1203">
        <v>146</v>
      </c>
      <c r="G220" s="1329">
        <f>F220/E220*100</f>
        <v>192.10526315789474</v>
      </c>
      <c r="H220" s="1229">
        <v>318043</v>
      </c>
      <c r="I220" s="1213">
        <v>154663</v>
      </c>
      <c r="J220" s="1330">
        <f>I220/H220*100</f>
        <v>48.629587823030221</v>
      </c>
    </row>
    <row r="221" spans="1:10" ht="18.75" customHeight="1" x14ac:dyDescent="0.2">
      <c r="A221" s="1187">
        <v>2</v>
      </c>
      <c r="B221" s="1231" t="s">
        <v>293</v>
      </c>
      <c r="C221" s="1322" t="s">
        <v>32</v>
      </c>
      <c r="D221" s="1647" t="s">
        <v>75</v>
      </c>
      <c r="E221" s="1203">
        <v>150</v>
      </c>
      <c r="F221" s="1203">
        <v>38</v>
      </c>
      <c r="G221" s="1329">
        <f t="shared" ref="G221:G235" si="34">F221/E221*100</f>
        <v>25.333333333333336</v>
      </c>
      <c r="H221" s="1229">
        <v>13374</v>
      </c>
      <c r="I221" s="1213">
        <f>4887</f>
        <v>4887</v>
      </c>
      <c r="J221" s="1330">
        <f t="shared" ref="J221:J235" si="35">I221/H221*100</f>
        <v>36.54104979811575</v>
      </c>
    </row>
    <row r="222" spans="1:10" ht="18.75" customHeight="1" x14ac:dyDescent="0.2">
      <c r="A222" s="1187">
        <v>3</v>
      </c>
      <c r="B222" s="1231" t="s">
        <v>294</v>
      </c>
      <c r="C222" s="1322" t="s">
        <v>32</v>
      </c>
      <c r="D222" s="1647" t="s">
        <v>75</v>
      </c>
      <c r="E222" s="1203">
        <v>150</v>
      </c>
      <c r="F222" s="1203">
        <v>33</v>
      </c>
      <c r="G222" s="1329">
        <f t="shared" si="34"/>
        <v>22</v>
      </c>
      <c r="H222" s="1229">
        <v>13000</v>
      </c>
      <c r="I222" s="1213">
        <v>3650</v>
      </c>
      <c r="J222" s="1330">
        <f t="shared" si="35"/>
        <v>28.076923076923077</v>
      </c>
    </row>
    <row r="223" spans="1:10" ht="18.75" customHeight="1" x14ac:dyDescent="0.2">
      <c r="A223" s="1187">
        <v>4</v>
      </c>
      <c r="B223" s="1231" t="s">
        <v>295</v>
      </c>
      <c r="C223" s="1322" t="s">
        <v>32</v>
      </c>
      <c r="D223" s="1647" t="s">
        <v>75</v>
      </c>
      <c r="E223" s="1203">
        <v>20</v>
      </c>
      <c r="F223" s="1203">
        <v>13</v>
      </c>
      <c r="G223" s="1329">
        <f t="shared" si="34"/>
        <v>65</v>
      </c>
      <c r="H223" s="1229">
        <v>13000</v>
      </c>
      <c r="I223" s="1213">
        <f>2918</f>
        <v>2918</v>
      </c>
      <c r="J223" s="1330">
        <f t="shared" si="35"/>
        <v>22.446153846153845</v>
      </c>
    </row>
    <row r="224" spans="1:10" ht="18.75" customHeight="1" x14ac:dyDescent="0.2">
      <c r="A224" s="1187">
        <v>5</v>
      </c>
      <c r="B224" s="1231" t="s">
        <v>2023</v>
      </c>
      <c r="C224" s="1322" t="s">
        <v>32</v>
      </c>
      <c r="D224" s="1647" t="s">
        <v>75</v>
      </c>
      <c r="E224" s="1203">
        <v>30</v>
      </c>
      <c r="F224" s="1203">
        <v>31</v>
      </c>
      <c r="G224" s="1329">
        <f t="shared" si="34"/>
        <v>103.33333333333334</v>
      </c>
      <c r="H224" s="1229">
        <v>20367</v>
      </c>
      <c r="I224" s="1213">
        <v>1194</v>
      </c>
      <c r="J224" s="1330">
        <f t="shared" si="35"/>
        <v>5.8624245102371484</v>
      </c>
    </row>
    <row r="225" spans="1:10" ht="18.75" customHeight="1" x14ac:dyDescent="0.2">
      <c r="A225" s="1187">
        <v>6</v>
      </c>
      <c r="B225" s="1231" t="s">
        <v>296</v>
      </c>
      <c r="C225" s="1322" t="s">
        <v>32</v>
      </c>
      <c r="D225" s="1647" t="s">
        <v>75</v>
      </c>
      <c r="E225" s="1203">
        <v>76</v>
      </c>
      <c r="F225" s="1203">
        <v>42</v>
      </c>
      <c r="G225" s="1329">
        <f t="shared" si="34"/>
        <v>55.26315789473685</v>
      </c>
      <c r="H225" s="1229">
        <v>65217</v>
      </c>
      <c r="I225" s="1213">
        <v>42609</v>
      </c>
      <c r="J225" s="1330">
        <f t="shared" si="35"/>
        <v>65.334192005152033</v>
      </c>
    </row>
    <row r="226" spans="1:10" ht="18.75" customHeight="1" x14ac:dyDescent="0.2">
      <c r="A226" s="1187">
        <v>7</v>
      </c>
      <c r="B226" s="1231" t="s">
        <v>297</v>
      </c>
      <c r="C226" s="1322" t="s">
        <v>32</v>
      </c>
      <c r="D226" s="1647" t="s">
        <v>113</v>
      </c>
      <c r="E226" s="1203">
        <v>30</v>
      </c>
      <c r="F226" s="1203">
        <v>9</v>
      </c>
      <c r="G226" s="1329">
        <f t="shared" si="34"/>
        <v>30</v>
      </c>
      <c r="H226" s="1229">
        <v>11220</v>
      </c>
      <c r="I226" s="1213">
        <v>5610.93</v>
      </c>
      <c r="J226" s="1330">
        <f t="shared" si="35"/>
        <v>50.008288770053476</v>
      </c>
    </row>
    <row r="227" spans="1:10" ht="18.75" customHeight="1" x14ac:dyDescent="0.2">
      <c r="A227" s="1187">
        <v>8</v>
      </c>
      <c r="B227" s="1231" t="s">
        <v>298</v>
      </c>
      <c r="C227" s="1322" t="s">
        <v>32</v>
      </c>
      <c r="D227" s="1647" t="s">
        <v>263</v>
      </c>
      <c r="E227" s="1203">
        <v>60</v>
      </c>
      <c r="F227" s="1203">
        <v>33</v>
      </c>
      <c r="G227" s="1329">
        <f t="shared" si="34"/>
        <v>55.000000000000007</v>
      </c>
      <c r="H227" s="1229">
        <v>13650</v>
      </c>
      <c r="I227" s="1213">
        <f t="shared" ref="I227:I234" si="36">H227/2</f>
        <v>6825</v>
      </c>
      <c r="J227" s="1330">
        <f t="shared" si="35"/>
        <v>50</v>
      </c>
    </row>
    <row r="228" spans="1:10" ht="18.75" customHeight="1" x14ac:dyDescent="0.2">
      <c r="A228" s="1187">
        <v>9</v>
      </c>
      <c r="B228" s="1231" t="s">
        <v>299</v>
      </c>
      <c r="C228" s="1322" t="s">
        <v>32</v>
      </c>
      <c r="D228" s="1647" t="s">
        <v>113</v>
      </c>
      <c r="E228" s="1203">
        <v>50</v>
      </c>
      <c r="F228" s="1203">
        <v>9</v>
      </c>
      <c r="G228" s="1329">
        <f t="shared" si="34"/>
        <v>18</v>
      </c>
      <c r="H228" s="1229">
        <v>4158</v>
      </c>
      <c r="I228" s="1213">
        <f t="shared" si="36"/>
        <v>2079</v>
      </c>
      <c r="J228" s="1330">
        <f t="shared" si="35"/>
        <v>50</v>
      </c>
    </row>
    <row r="229" spans="1:10" ht="18.75" customHeight="1" x14ac:dyDescent="0.2">
      <c r="A229" s="1187">
        <v>10</v>
      </c>
      <c r="B229" s="1231" t="s">
        <v>300</v>
      </c>
      <c r="C229" s="1322" t="s">
        <v>32</v>
      </c>
      <c r="D229" s="1647" t="s">
        <v>75</v>
      </c>
      <c r="E229" s="1203">
        <v>90</v>
      </c>
      <c r="F229" s="1203">
        <v>30</v>
      </c>
      <c r="G229" s="1329">
        <f t="shared" si="34"/>
        <v>33.333333333333329</v>
      </c>
      <c r="H229" s="1229">
        <v>4735</v>
      </c>
      <c r="I229" s="1213">
        <f t="shared" si="36"/>
        <v>2367.5</v>
      </c>
      <c r="J229" s="1330">
        <f t="shared" si="35"/>
        <v>50</v>
      </c>
    </row>
    <row r="230" spans="1:10" ht="25.5" x14ac:dyDescent="0.2">
      <c r="A230" s="1300">
        <v>11</v>
      </c>
      <c r="B230" s="1221" t="s">
        <v>301</v>
      </c>
      <c r="C230" s="1322" t="s">
        <v>32</v>
      </c>
      <c r="D230" s="1331" t="s">
        <v>106</v>
      </c>
      <c r="E230" s="1270">
        <v>12</v>
      </c>
      <c r="F230" s="1270">
        <v>6</v>
      </c>
      <c r="G230" s="1329">
        <f t="shared" si="34"/>
        <v>50</v>
      </c>
      <c r="H230" s="1229">
        <v>3000</v>
      </c>
      <c r="I230" s="1213">
        <f t="shared" si="36"/>
        <v>1500</v>
      </c>
      <c r="J230" s="1330">
        <f t="shared" si="35"/>
        <v>50</v>
      </c>
    </row>
    <row r="231" spans="1:10" ht="18.75" customHeight="1" x14ac:dyDescent="0.2">
      <c r="A231" s="1300">
        <v>12</v>
      </c>
      <c r="B231" s="1221" t="s">
        <v>302</v>
      </c>
      <c r="C231" s="1322" t="s">
        <v>32</v>
      </c>
      <c r="D231" s="1331" t="s">
        <v>303</v>
      </c>
      <c r="E231" s="1270">
        <v>100</v>
      </c>
      <c r="F231" s="1270">
        <v>40</v>
      </c>
      <c r="G231" s="1329">
        <f t="shared" si="34"/>
        <v>40</v>
      </c>
      <c r="H231" s="1229">
        <v>17500</v>
      </c>
      <c r="I231" s="1213">
        <v>3500</v>
      </c>
      <c r="J231" s="1330">
        <f t="shared" si="35"/>
        <v>20</v>
      </c>
    </row>
    <row r="232" spans="1:10" ht="18.75" customHeight="1" x14ac:dyDescent="0.2">
      <c r="A232" s="1300">
        <v>13</v>
      </c>
      <c r="B232" s="1221" t="s">
        <v>2024</v>
      </c>
      <c r="C232" s="1322" t="s">
        <v>32</v>
      </c>
      <c r="D232" s="1331" t="s">
        <v>2025</v>
      </c>
      <c r="E232" s="1270">
        <v>50</v>
      </c>
      <c r="F232" s="1270">
        <v>29</v>
      </c>
      <c r="G232" s="1329">
        <f t="shared" si="34"/>
        <v>57.999999999999993</v>
      </c>
      <c r="H232" s="1229">
        <v>14235</v>
      </c>
      <c r="I232" s="1213">
        <v>2112</v>
      </c>
      <c r="J232" s="1330">
        <f t="shared" si="35"/>
        <v>14.836670179135933</v>
      </c>
    </row>
    <row r="233" spans="1:10" ht="25.5" x14ac:dyDescent="0.2">
      <c r="A233" s="1300">
        <v>14</v>
      </c>
      <c r="B233" s="1221" t="s">
        <v>2026</v>
      </c>
      <c r="C233" s="1322" t="s">
        <v>32</v>
      </c>
      <c r="D233" s="1331" t="s">
        <v>175</v>
      </c>
      <c r="E233" s="1270">
        <v>1</v>
      </c>
      <c r="F233" s="1270">
        <v>1</v>
      </c>
      <c r="G233" s="1329">
        <f t="shared" si="34"/>
        <v>100</v>
      </c>
      <c r="H233" s="1229">
        <v>39600</v>
      </c>
      <c r="I233" s="1213">
        <f t="shared" si="36"/>
        <v>19800</v>
      </c>
      <c r="J233" s="1330">
        <f t="shared" si="35"/>
        <v>50</v>
      </c>
    </row>
    <row r="234" spans="1:10" ht="18.75" customHeight="1" x14ac:dyDescent="0.2">
      <c r="A234" s="1300">
        <v>15</v>
      </c>
      <c r="B234" s="1221" t="s">
        <v>2027</v>
      </c>
      <c r="C234" s="1322" t="s">
        <v>37</v>
      </c>
      <c r="D234" s="1331" t="s">
        <v>75</v>
      </c>
      <c r="E234" s="1270">
        <v>2</v>
      </c>
      <c r="F234" s="1270">
        <v>1</v>
      </c>
      <c r="G234" s="1329">
        <f t="shared" si="34"/>
        <v>50</v>
      </c>
      <c r="H234" s="1229">
        <v>8000</v>
      </c>
      <c r="I234" s="1213">
        <f t="shared" si="36"/>
        <v>4000</v>
      </c>
      <c r="J234" s="1330">
        <f t="shared" si="35"/>
        <v>50</v>
      </c>
    </row>
    <row r="235" spans="1:10" ht="18.75" customHeight="1" x14ac:dyDescent="0.2">
      <c r="A235" s="1300">
        <v>16</v>
      </c>
      <c r="B235" s="1221" t="s">
        <v>2028</v>
      </c>
      <c r="C235" s="1322" t="s">
        <v>37</v>
      </c>
      <c r="D235" s="1331" t="s">
        <v>75</v>
      </c>
      <c r="E235" s="1270">
        <v>1</v>
      </c>
      <c r="F235" s="1270">
        <v>0</v>
      </c>
      <c r="G235" s="1329">
        <f t="shared" si="34"/>
        <v>0</v>
      </c>
      <c r="H235" s="1229">
        <v>2000</v>
      </c>
      <c r="I235" s="1213">
        <v>0</v>
      </c>
      <c r="J235" s="1330">
        <f t="shared" si="35"/>
        <v>0</v>
      </c>
    </row>
    <row r="236" spans="1:10" ht="18.75" customHeight="1" x14ac:dyDescent="0.2">
      <c r="A236" s="1332"/>
      <c r="B236" s="1333" t="s">
        <v>304</v>
      </c>
      <c r="C236" s="1193"/>
      <c r="D236" s="1193"/>
      <c r="E236" s="1194"/>
      <c r="F236" s="1194"/>
      <c r="G236" s="1194"/>
      <c r="H236" s="1164">
        <f>SUM(H237:H243)+H244</f>
        <v>4170407</v>
      </c>
      <c r="I236" s="1165">
        <f>SUM(I237:I243)+I244</f>
        <v>152712.17000000001</v>
      </c>
      <c r="J236" s="2270">
        <f>I236/H236*100</f>
        <v>3.6618049509316477</v>
      </c>
    </row>
    <row r="237" spans="1:10" ht="38.25" x14ac:dyDescent="0.2">
      <c r="A237" s="1300">
        <v>1</v>
      </c>
      <c r="B237" s="1334" t="s">
        <v>2029</v>
      </c>
      <c r="C237" s="1647" t="s">
        <v>32</v>
      </c>
      <c r="D237" s="1177" t="s">
        <v>111</v>
      </c>
      <c r="E237" s="1172">
        <v>240</v>
      </c>
      <c r="F237" s="1172">
        <f>E237*0.4</f>
        <v>96</v>
      </c>
      <c r="G237" s="1335">
        <f>+F237/E237*100</f>
        <v>40</v>
      </c>
      <c r="H237" s="1174">
        <v>42920</v>
      </c>
      <c r="I237" s="1186">
        <v>14168.57</v>
      </c>
      <c r="J237" s="2271">
        <f>+I237/H237*100</f>
        <v>33.011579683131409</v>
      </c>
    </row>
    <row r="238" spans="1:10" ht="63.75" x14ac:dyDescent="0.2">
      <c r="A238" s="1300">
        <v>2</v>
      </c>
      <c r="B238" s="1334" t="s">
        <v>2037</v>
      </c>
      <c r="C238" s="1647" t="s">
        <v>32</v>
      </c>
      <c r="D238" s="1177" t="s">
        <v>97</v>
      </c>
      <c r="E238" s="1172">
        <v>60</v>
      </c>
      <c r="F238" s="1172">
        <f t="shared" ref="F238:F241" si="37">E238*0.4</f>
        <v>24</v>
      </c>
      <c r="G238" s="1335">
        <f t="shared" ref="G238:G244" si="38">+F238/E238*100</f>
        <v>40</v>
      </c>
      <c r="H238" s="1174">
        <v>42920</v>
      </c>
      <c r="I238" s="1186">
        <f t="shared" ref="I238:I241" si="39">H238*0.4</f>
        <v>17168</v>
      </c>
      <c r="J238" s="2271">
        <f t="shared" ref="J238:J244" si="40">+I238/H238*100</f>
        <v>40</v>
      </c>
    </row>
    <row r="239" spans="1:10" ht="44.25" customHeight="1" x14ac:dyDescent="0.2">
      <c r="A239" s="1300">
        <v>3</v>
      </c>
      <c r="B239" s="1334" t="s">
        <v>2030</v>
      </c>
      <c r="C239" s="1647" t="s">
        <v>32</v>
      </c>
      <c r="D239" s="1177" t="s">
        <v>111</v>
      </c>
      <c r="E239" s="1172">
        <v>240</v>
      </c>
      <c r="F239" s="1172">
        <f t="shared" si="37"/>
        <v>96</v>
      </c>
      <c r="G239" s="1335">
        <f t="shared" si="38"/>
        <v>40</v>
      </c>
      <c r="H239" s="1174">
        <v>42920</v>
      </c>
      <c r="I239" s="1186">
        <f t="shared" si="39"/>
        <v>17168</v>
      </c>
      <c r="J239" s="2271">
        <f t="shared" si="40"/>
        <v>40</v>
      </c>
    </row>
    <row r="240" spans="1:10" ht="38.25" x14ac:dyDescent="0.2">
      <c r="A240" s="1300">
        <v>4</v>
      </c>
      <c r="B240" s="1334" t="s">
        <v>2031</v>
      </c>
      <c r="C240" s="1647" t="s">
        <v>32</v>
      </c>
      <c r="D240" s="1177" t="s">
        <v>111</v>
      </c>
      <c r="E240" s="1172">
        <v>12</v>
      </c>
      <c r="F240" s="1172">
        <f t="shared" si="37"/>
        <v>4.8000000000000007</v>
      </c>
      <c r="G240" s="1335">
        <f t="shared" si="38"/>
        <v>40.000000000000007</v>
      </c>
      <c r="H240" s="1174">
        <v>42920</v>
      </c>
      <c r="I240" s="1186">
        <f t="shared" si="39"/>
        <v>17168</v>
      </c>
      <c r="J240" s="2271">
        <f t="shared" si="40"/>
        <v>40</v>
      </c>
    </row>
    <row r="241" spans="1:10" ht="51" x14ac:dyDescent="0.2">
      <c r="A241" s="1300">
        <v>5</v>
      </c>
      <c r="B241" s="1334" t="s">
        <v>2032</v>
      </c>
      <c r="C241" s="1647" t="s">
        <v>32</v>
      </c>
      <c r="D241" s="1177" t="s">
        <v>59</v>
      </c>
      <c r="E241" s="1172">
        <v>2</v>
      </c>
      <c r="F241" s="1172">
        <f t="shared" si="37"/>
        <v>0.8</v>
      </c>
      <c r="G241" s="1335">
        <f t="shared" si="38"/>
        <v>40</v>
      </c>
      <c r="H241" s="1174">
        <v>88582</v>
      </c>
      <c r="I241" s="1186">
        <f t="shared" si="39"/>
        <v>35432.800000000003</v>
      </c>
      <c r="J241" s="2271">
        <f t="shared" si="40"/>
        <v>40</v>
      </c>
    </row>
    <row r="242" spans="1:10" ht="38.25" x14ac:dyDescent="0.2">
      <c r="A242" s="1300">
        <v>6</v>
      </c>
      <c r="B242" s="1334" t="s">
        <v>2033</v>
      </c>
      <c r="C242" s="1647" t="s">
        <v>32</v>
      </c>
      <c r="D242" s="1177" t="s">
        <v>59</v>
      </c>
      <c r="E242" s="1172">
        <v>10</v>
      </c>
      <c r="F242" s="1172">
        <f t="shared" ref="F242:F243" si="41">E242/2</f>
        <v>5</v>
      </c>
      <c r="G242" s="1335">
        <f t="shared" si="38"/>
        <v>50</v>
      </c>
      <c r="H242" s="1174">
        <v>88582</v>
      </c>
      <c r="I242" s="1186">
        <f>H242/2.5</f>
        <v>35432.800000000003</v>
      </c>
      <c r="J242" s="2271">
        <f t="shared" si="40"/>
        <v>40</v>
      </c>
    </row>
    <row r="243" spans="1:10" ht="51" x14ac:dyDescent="0.2">
      <c r="A243" s="1300">
        <v>7</v>
      </c>
      <c r="B243" s="1334" t="s">
        <v>2034</v>
      </c>
      <c r="C243" s="1647" t="s">
        <v>32</v>
      </c>
      <c r="D243" s="1177" t="s">
        <v>111</v>
      </c>
      <c r="E243" s="1172">
        <v>100</v>
      </c>
      <c r="F243" s="1172">
        <f t="shared" si="41"/>
        <v>50</v>
      </c>
      <c r="G243" s="1335">
        <f t="shared" si="38"/>
        <v>50</v>
      </c>
      <c r="H243" s="1174">
        <v>30000</v>
      </c>
      <c r="I243" s="1186">
        <v>8858</v>
      </c>
      <c r="J243" s="2271">
        <f t="shared" si="40"/>
        <v>29.526666666666667</v>
      </c>
    </row>
    <row r="244" spans="1:10" ht="38.25" x14ac:dyDescent="0.2">
      <c r="A244" s="1336">
        <v>8</v>
      </c>
      <c r="B244" s="1334" t="s">
        <v>2035</v>
      </c>
      <c r="C244" s="1647" t="s">
        <v>32</v>
      </c>
      <c r="D244" s="1647" t="s">
        <v>2036</v>
      </c>
      <c r="E244" s="1172">
        <v>10</v>
      </c>
      <c r="F244" s="1172">
        <v>0</v>
      </c>
      <c r="G244" s="1335">
        <f t="shared" si="38"/>
        <v>0</v>
      </c>
      <c r="H244" s="1174">
        <v>3791563</v>
      </c>
      <c r="I244" s="1186">
        <v>7316</v>
      </c>
      <c r="J244" s="2271">
        <f t="shared" si="40"/>
        <v>0.19295472605888389</v>
      </c>
    </row>
    <row r="245" spans="1:10" ht="19.5" customHeight="1" x14ac:dyDescent="0.2">
      <c r="A245" s="1337" t="s">
        <v>2040</v>
      </c>
      <c r="B245" s="1338"/>
      <c r="C245" s="1338"/>
      <c r="D245" s="1339"/>
      <c r="E245" s="1338"/>
      <c r="F245" s="1339"/>
      <c r="G245" s="1339"/>
      <c r="H245" s="2272">
        <f>+H246</f>
        <v>2274940</v>
      </c>
      <c r="I245" s="2273">
        <f>+I246</f>
        <v>642260.78</v>
      </c>
      <c r="J245" s="1234">
        <f t="shared" ref="J245:J250" si="42">+I245/H245*100</f>
        <v>28.231987656817324</v>
      </c>
    </row>
    <row r="246" spans="1:10" ht="18" customHeight="1" x14ac:dyDescent="0.2">
      <c r="A246" s="1300">
        <v>1</v>
      </c>
      <c r="B246" s="1340" t="s">
        <v>2039</v>
      </c>
      <c r="C246" s="1647" t="s">
        <v>32</v>
      </c>
      <c r="D246" s="1322" t="s">
        <v>111</v>
      </c>
      <c r="E246" s="1325"/>
      <c r="F246" s="1325"/>
      <c r="G246" s="1325"/>
      <c r="H246" s="2274">
        <v>2274940</v>
      </c>
      <c r="I246" s="2275">
        <v>642260.78</v>
      </c>
      <c r="J246" s="2275">
        <f t="shared" si="42"/>
        <v>28.231987656817324</v>
      </c>
    </row>
    <row r="247" spans="1:10" ht="19.5" customHeight="1" x14ac:dyDescent="0.2">
      <c r="A247" s="1337" t="s">
        <v>72</v>
      </c>
      <c r="B247" s="1338"/>
      <c r="C247" s="1338"/>
      <c r="D247" s="1339"/>
      <c r="E247" s="1338"/>
      <c r="F247" s="1339"/>
      <c r="G247" s="1339"/>
      <c r="H247" s="2272">
        <f>+H248</f>
        <v>358235</v>
      </c>
      <c r="I247" s="2273">
        <f>+I248</f>
        <v>139222</v>
      </c>
      <c r="J247" s="1234">
        <f t="shared" si="42"/>
        <v>38.863315979733976</v>
      </c>
    </row>
    <row r="248" spans="1:10" ht="19.5" customHeight="1" x14ac:dyDescent="0.2">
      <c r="A248" s="1300">
        <v>1</v>
      </c>
      <c r="B248" s="1340" t="s">
        <v>2041</v>
      </c>
      <c r="C248" s="1647" t="s">
        <v>32</v>
      </c>
      <c r="D248" s="1322" t="s">
        <v>111</v>
      </c>
      <c r="E248" s="1325"/>
      <c r="F248" s="1325"/>
      <c r="G248" s="1325"/>
      <c r="H248" s="2274">
        <v>358235</v>
      </c>
      <c r="I248" s="2275">
        <v>139222</v>
      </c>
      <c r="J248" s="2275">
        <f t="shared" si="42"/>
        <v>38.863315979733976</v>
      </c>
    </row>
    <row r="249" spans="1:10" ht="18.75" customHeight="1" x14ac:dyDescent="0.2">
      <c r="A249" s="1341" t="s">
        <v>2046</v>
      </c>
      <c r="B249" s="1342"/>
      <c r="C249" s="1337"/>
      <c r="D249" s="1343"/>
      <c r="E249" s="1344"/>
      <c r="F249" s="1344"/>
      <c r="G249" s="1344"/>
      <c r="H249" s="2276">
        <f>+H250+H254</f>
        <v>5194316</v>
      </c>
      <c r="I249" s="1234">
        <f>+I250+I254</f>
        <v>1577859.6600000001</v>
      </c>
      <c r="J249" s="1234">
        <f t="shared" si="42"/>
        <v>30.376659024980384</v>
      </c>
    </row>
    <row r="250" spans="1:10" ht="18.75" customHeight="1" x14ac:dyDescent="0.2">
      <c r="A250" s="1337"/>
      <c r="B250" s="1345" t="s">
        <v>2045</v>
      </c>
      <c r="C250" s="1345"/>
      <c r="D250" s="1346"/>
      <c r="E250" s="1347"/>
      <c r="F250" s="1347"/>
      <c r="G250" s="1347"/>
      <c r="H250" s="1258">
        <f>SUM(H251:H253)</f>
        <v>3335435</v>
      </c>
      <c r="I250" s="1259">
        <f>SUM(I251:I253)</f>
        <v>1553526.6600000001</v>
      </c>
      <c r="J250" s="1259">
        <f t="shared" si="42"/>
        <v>46.576433358767297</v>
      </c>
    </row>
    <row r="251" spans="1:10" ht="18.75" customHeight="1" x14ac:dyDescent="0.2">
      <c r="A251" s="1300">
        <v>1</v>
      </c>
      <c r="B251" s="1348" t="s">
        <v>2042</v>
      </c>
      <c r="C251" s="1331" t="s">
        <v>32</v>
      </c>
      <c r="D251" s="1177" t="s">
        <v>111</v>
      </c>
      <c r="E251" s="1349">
        <v>360</v>
      </c>
      <c r="F251" s="1349">
        <v>180</v>
      </c>
      <c r="G251" s="1269">
        <f>180*100/360</f>
        <v>50</v>
      </c>
      <c r="H251" s="1275">
        <v>1914217</v>
      </c>
      <c r="I251" s="1295">
        <v>831998</v>
      </c>
      <c r="J251" s="1295">
        <f>+I251/H251*100</f>
        <v>43.464142257643729</v>
      </c>
    </row>
    <row r="252" spans="1:10" ht="18.75" customHeight="1" x14ac:dyDescent="0.2">
      <c r="A252" s="1300">
        <v>2</v>
      </c>
      <c r="B252" s="1348" t="s">
        <v>65</v>
      </c>
      <c r="C252" s="1331" t="s">
        <v>32</v>
      </c>
      <c r="D252" s="1177" t="s">
        <v>363</v>
      </c>
      <c r="E252" s="1349">
        <v>12</v>
      </c>
      <c r="F252" s="1349">
        <v>6</v>
      </c>
      <c r="G252" s="1269">
        <f>6*100/12</f>
        <v>50</v>
      </c>
      <c r="H252" s="1275">
        <v>1299373</v>
      </c>
      <c r="I252" s="1295">
        <v>625124.66</v>
      </c>
      <c r="J252" s="1295">
        <f>+I252/H252*100</f>
        <v>48.10971599379085</v>
      </c>
    </row>
    <row r="253" spans="1:10" ht="18.75" customHeight="1" x14ac:dyDescent="0.2">
      <c r="A253" s="1300">
        <v>3</v>
      </c>
      <c r="B253" s="1348" t="s">
        <v>2047</v>
      </c>
      <c r="C253" s="1331" t="s">
        <v>32</v>
      </c>
      <c r="D253" s="1177" t="s">
        <v>111</v>
      </c>
      <c r="E253" s="1349">
        <v>1</v>
      </c>
      <c r="F253" s="1349">
        <v>0.38</v>
      </c>
      <c r="G253" s="1269">
        <f>+F253*100/E253</f>
        <v>38</v>
      </c>
      <c r="H253" s="1275">
        <v>121845</v>
      </c>
      <c r="I253" s="1295">
        <v>96404</v>
      </c>
      <c r="J253" s="1295">
        <f t="shared" ref="J253" si="43">+I253/H253*100</f>
        <v>79.120193688702855</v>
      </c>
    </row>
    <row r="254" spans="1:10" ht="18.75" customHeight="1" x14ac:dyDescent="0.2">
      <c r="A254" s="1157"/>
      <c r="B254" s="1345" t="s">
        <v>2048</v>
      </c>
      <c r="C254" s="1256"/>
      <c r="D254" s="1350"/>
      <c r="E254" s="1350"/>
      <c r="F254" s="1256"/>
      <c r="G254" s="1256"/>
      <c r="H254" s="1258">
        <f>+H255</f>
        <v>1858881</v>
      </c>
      <c r="I254" s="1259">
        <f>+I255</f>
        <v>24333</v>
      </c>
      <c r="J254" s="1259">
        <f>+I254/H254*100</f>
        <v>1.3090133257588839</v>
      </c>
    </row>
    <row r="255" spans="1:10" ht="18.75" customHeight="1" x14ac:dyDescent="0.2">
      <c r="A255" s="1271">
        <v>1</v>
      </c>
      <c r="B255" s="2041" t="s">
        <v>348</v>
      </c>
      <c r="C255" s="1274" t="s">
        <v>68</v>
      </c>
      <c r="D255" s="2042" t="s">
        <v>904</v>
      </c>
      <c r="E255" s="1232">
        <v>1</v>
      </c>
      <c r="F255" s="1277">
        <v>0.1</v>
      </c>
      <c r="G255" s="1277">
        <f>+F255/E255*100</f>
        <v>10</v>
      </c>
      <c r="H255" s="1275">
        <v>1858881</v>
      </c>
      <c r="I255" s="1295">
        <v>24333</v>
      </c>
      <c r="J255" s="1295">
        <f>+I255*100/H255</f>
        <v>1.3090133257588841</v>
      </c>
    </row>
    <row r="256" spans="1:10" ht="18" customHeight="1" x14ac:dyDescent="0.2">
      <c r="A256" s="2490" t="s">
        <v>2050</v>
      </c>
      <c r="B256" s="2490"/>
      <c r="C256" s="1351"/>
      <c r="D256" s="1352"/>
      <c r="E256" s="1263"/>
      <c r="F256" s="1263"/>
      <c r="G256" s="1263"/>
      <c r="H256" s="2276">
        <f>+H257+H285+H289</f>
        <v>1740211</v>
      </c>
      <c r="I256" s="1234">
        <f>+I257+I285+I289</f>
        <v>965778.76</v>
      </c>
      <c r="J256" s="1234">
        <f>+I256/H256*100</f>
        <v>55.497796531570017</v>
      </c>
    </row>
    <row r="257" spans="1:10" ht="18.75" customHeight="1" x14ac:dyDescent="0.2">
      <c r="A257" s="1191">
        <v>1</v>
      </c>
      <c r="B257" s="1353" t="s">
        <v>365</v>
      </c>
      <c r="C257" s="1244"/>
      <c r="D257" s="1193"/>
      <c r="E257" s="1354"/>
      <c r="F257" s="1354"/>
      <c r="G257" s="1354"/>
      <c r="H257" s="1164">
        <f>SUM(H258:H284)</f>
        <v>1284890</v>
      </c>
      <c r="I257" s="1165">
        <f>SUM(I258:I284)</f>
        <v>846988.79999999993</v>
      </c>
      <c r="J257" s="1165">
        <f>+I257/H257*100</f>
        <v>65.919168177820666</v>
      </c>
    </row>
    <row r="258" spans="1:10" ht="63.75" x14ac:dyDescent="0.2">
      <c r="A258" s="1197">
        <v>1.1000000000000001</v>
      </c>
      <c r="B258" s="1355" t="s">
        <v>528</v>
      </c>
      <c r="C258" s="1648" t="s">
        <v>69</v>
      </c>
      <c r="D258" s="1356" t="s">
        <v>528</v>
      </c>
      <c r="E258" s="1349">
        <v>14</v>
      </c>
      <c r="F258" s="1268">
        <v>14</v>
      </c>
      <c r="G258" s="1223">
        <f>+F258/E258*100</f>
        <v>100</v>
      </c>
      <c r="H258" s="1174">
        <v>166080</v>
      </c>
      <c r="I258" s="1186">
        <v>147603.64000000001</v>
      </c>
      <c r="J258" s="1186">
        <f>+I258/H258*100</f>
        <v>88.875024084778431</v>
      </c>
    </row>
    <row r="259" spans="1:10" ht="38.25" x14ac:dyDescent="0.2">
      <c r="A259" s="1197">
        <v>1.2</v>
      </c>
      <c r="B259" s="1355" t="s">
        <v>529</v>
      </c>
      <c r="C259" s="1648" t="s">
        <v>69</v>
      </c>
      <c r="D259" s="1356" t="s">
        <v>529</v>
      </c>
      <c r="E259" s="1349">
        <v>14</v>
      </c>
      <c r="F259" s="1268">
        <v>14</v>
      </c>
      <c r="G259" s="1223">
        <f t="shared" ref="G259:G284" si="44">+F259/E259*100</f>
        <v>100</v>
      </c>
      <c r="H259" s="1174">
        <v>605064</v>
      </c>
      <c r="I259" s="1186">
        <v>295664</v>
      </c>
      <c r="J259" s="1186">
        <f t="shared" ref="J259:J290" si="45">+I259/H259*100</f>
        <v>48.864913463699708</v>
      </c>
    </row>
    <row r="260" spans="1:10" ht="21.75" customHeight="1" x14ac:dyDescent="0.2">
      <c r="A260" s="1197">
        <v>1.3</v>
      </c>
      <c r="B260" s="1355" t="s">
        <v>526</v>
      </c>
      <c r="C260" s="1648" t="s">
        <v>69</v>
      </c>
      <c r="D260" s="1356" t="s">
        <v>526</v>
      </c>
      <c r="E260" s="1349">
        <v>14</v>
      </c>
      <c r="F260" s="1268">
        <v>0</v>
      </c>
      <c r="G260" s="1223">
        <f t="shared" si="44"/>
        <v>0</v>
      </c>
      <c r="H260" s="1174">
        <v>8400</v>
      </c>
      <c r="I260" s="1186">
        <v>0</v>
      </c>
      <c r="J260" s="1186">
        <f t="shared" si="45"/>
        <v>0</v>
      </c>
    </row>
    <row r="261" spans="1:10" ht="25.5" x14ac:dyDescent="0.2">
      <c r="A261" s="1197">
        <v>1.4</v>
      </c>
      <c r="B261" s="1355" t="s">
        <v>530</v>
      </c>
      <c r="C261" s="1648" t="s">
        <v>69</v>
      </c>
      <c r="D261" s="1356" t="s">
        <v>530</v>
      </c>
      <c r="E261" s="1349">
        <v>14</v>
      </c>
      <c r="F261" s="1268">
        <v>13</v>
      </c>
      <c r="G261" s="1223">
        <f t="shared" si="44"/>
        <v>92.857142857142861</v>
      </c>
      <c r="H261" s="1174">
        <v>5600</v>
      </c>
      <c r="I261" s="1186">
        <v>5200</v>
      </c>
      <c r="J261" s="1186">
        <f t="shared" si="45"/>
        <v>92.857142857142861</v>
      </c>
    </row>
    <row r="262" spans="1:10" ht="25.5" x14ac:dyDescent="0.2">
      <c r="A262" s="1197">
        <v>1.5</v>
      </c>
      <c r="B262" s="1355" t="s">
        <v>2051</v>
      </c>
      <c r="C262" s="1648" t="s">
        <v>69</v>
      </c>
      <c r="D262" s="1356" t="s">
        <v>2051</v>
      </c>
      <c r="E262" s="1349">
        <v>14</v>
      </c>
      <c r="F262" s="1269">
        <v>14</v>
      </c>
      <c r="G262" s="1223">
        <f t="shared" si="44"/>
        <v>100</v>
      </c>
      <c r="H262" s="1174">
        <v>13202</v>
      </c>
      <c r="I262" s="1186">
        <v>6033.68</v>
      </c>
      <c r="J262" s="1186">
        <f t="shared" si="45"/>
        <v>45.702772307226184</v>
      </c>
    </row>
    <row r="263" spans="1:10" ht="51" x14ac:dyDescent="0.2">
      <c r="A263" s="1197">
        <v>1.6</v>
      </c>
      <c r="B263" s="1355" t="s">
        <v>531</v>
      </c>
      <c r="C263" s="1648" t="s">
        <v>69</v>
      </c>
      <c r="D263" s="1356" t="s">
        <v>531</v>
      </c>
      <c r="E263" s="1349">
        <v>1</v>
      </c>
      <c r="F263" s="1269">
        <v>0.57799999999999996</v>
      </c>
      <c r="G263" s="1223">
        <f t="shared" si="44"/>
        <v>57.8</v>
      </c>
      <c r="H263" s="1174">
        <v>7848</v>
      </c>
      <c r="I263" s="1186">
        <v>4536</v>
      </c>
      <c r="J263" s="1186">
        <f t="shared" si="45"/>
        <v>57.798165137614674</v>
      </c>
    </row>
    <row r="264" spans="1:10" ht="33.75" customHeight="1" x14ac:dyDescent="0.2">
      <c r="A264" s="1197">
        <v>1.7</v>
      </c>
      <c r="B264" s="1355" t="s">
        <v>532</v>
      </c>
      <c r="C264" s="1648" t="s">
        <v>69</v>
      </c>
      <c r="D264" s="1356" t="s">
        <v>532</v>
      </c>
      <c r="E264" s="1349">
        <v>1</v>
      </c>
      <c r="F264" s="1269">
        <v>0.63600000000000001</v>
      </c>
      <c r="G264" s="1223">
        <f t="shared" si="44"/>
        <v>63.6</v>
      </c>
      <c r="H264" s="1174">
        <v>16799</v>
      </c>
      <c r="I264" s="1186">
        <v>8798.9</v>
      </c>
      <c r="J264" s="1186">
        <f t="shared" si="45"/>
        <v>52.377522471575688</v>
      </c>
    </row>
    <row r="265" spans="1:10" ht="30" customHeight="1" x14ac:dyDescent="0.2">
      <c r="A265" s="1197">
        <v>1.8</v>
      </c>
      <c r="B265" s="1355" t="s">
        <v>533</v>
      </c>
      <c r="C265" s="1648" t="s">
        <v>69</v>
      </c>
      <c r="D265" s="1356" t="s">
        <v>533</v>
      </c>
      <c r="E265" s="1349">
        <v>1</v>
      </c>
      <c r="F265" s="1269">
        <v>0.35599999999999998</v>
      </c>
      <c r="G265" s="1223">
        <f t="shared" si="44"/>
        <v>35.6</v>
      </c>
      <c r="H265" s="1174">
        <v>1112</v>
      </c>
      <c r="I265" s="1186">
        <v>112</v>
      </c>
      <c r="J265" s="1186">
        <f t="shared" si="45"/>
        <v>10.071942446043165</v>
      </c>
    </row>
    <row r="266" spans="1:10" ht="33" customHeight="1" x14ac:dyDescent="0.2">
      <c r="A266" s="1197">
        <v>1.9</v>
      </c>
      <c r="B266" s="1355" t="s">
        <v>534</v>
      </c>
      <c r="C266" s="1648" t="s">
        <v>69</v>
      </c>
      <c r="D266" s="1356" t="s">
        <v>534</v>
      </c>
      <c r="E266" s="1349">
        <v>1</v>
      </c>
      <c r="F266" s="1269">
        <v>0.751</v>
      </c>
      <c r="G266" s="1223">
        <f t="shared" si="44"/>
        <v>75.099999999999994</v>
      </c>
      <c r="H266" s="1174">
        <v>17875</v>
      </c>
      <c r="I266" s="1186">
        <v>16606.68</v>
      </c>
      <c r="J266" s="1186">
        <f t="shared" si="45"/>
        <v>92.904503496503494</v>
      </c>
    </row>
    <row r="267" spans="1:10" ht="51" x14ac:dyDescent="0.2">
      <c r="A267" s="1357">
        <v>1.1000000000000001</v>
      </c>
      <c r="B267" s="1355" t="s">
        <v>535</v>
      </c>
      <c r="C267" s="1648" t="s">
        <v>69</v>
      </c>
      <c r="D267" s="1356" t="s">
        <v>535</v>
      </c>
      <c r="E267" s="1349">
        <v>1</v>
      </c>
      <c r="F267" s="1269">
        <v>0.85299999999999998</v>
      </c>
      <c r="G267" s="1223">
        <f t="shared" si="44"/>
        <v>85.3</v>
      </c>
      <c r="H267" s="1174">
        <v>31455</v>
      </c>
      <c r="I267" s="1186">
        <v>26887.05</v>
      </c>
      <c r="J267" s="1186">
        <f t="shared" si="45"/>
        <v>85.47782546494993</v>
      </c>
    </row>
    <row r="268" spans="1:10" ht="25.5" x14ac:dyDescent="0.2">
      <c r="A268" s="1197">
        <v>1.1100000000000001</v>
      </c>
      <c r="B268" s="1355" t="s">
        <v>2052</v>
      </c>
      <c r="C268" s="1648" t="s">
        <v>69</v>
      </c>
      <c r="D268" s="1356" t="s">
        <v>2052</v>
      </c>
      <c r="E268" s="1349">
        <v>1</v>
      </c>
      <c r="F268" s="1269">
        <v>0.72099999999999997</v>
      </c>
      <c r="G268" s="1223">
        <f t="shared" si="44"/>
        <v>72.099999999999994</v>
      </c>
      <c r="H268" s="1174">
        <v>860</v>
      </c>
      <c r="I268" s="1186">
        <v>622</v>
      </c>
      <c r="J268" s="1186">
        <f t="shared" si="45"/>
        <v>72.325581395348834</v>
      </c>
    </row>
    <row r="269" spans="1:10" ht="23.25" customHeight="1" x14ac:dyDescent="0.2">
      <c r="A269" s="1357">
        <v>1.1200000000000001</v>
      </c>
      <c r="B269" s="1355" t="s">
        <v>536</v>
      </c>
      <c r="C269" s="1648" t="s">
        <v>69</v>
      </c>
      <c r="D269" s="1356" t="s">
        <v>536</v>
      </c>
      <c r="E269" s="1349">
        <v>1</v>
      </c>
      <c r="F269" s="1269">
        <v>8.4000000000000005E-2</v>
      </c>
      <c r="G269" s="1223">
        <f t="shared" si="44"/>
        <v>8.4</v>
      </c>
      <c r="H269" s="1172">
        <v>10530</v>
      </c>
      <c r="I269" s="1175">
        <v>390</v>
      </c>
      <c r="J269" s="1175">
        <f t="shared" si="45"/>
        <v>3.7037037037037033</v>
      </c>
    </row>
    <row r="270" spans="1:10" ht="38.25" x14ac:dyDescent="0.2">
      <c r="A270" s="1197">
        <v>1.1299999999999999</v>
      </c>
      <c r="B270" s="1355" t="s">
        <v>537</v>
      </c>
      <c r="C270" s="1648" t="s">
        <v>69</v>
      </c>
      <c r="D270" s="1356" t="s">
        <v>537</v>
      </c>
      <c r="E270" s="1349">
        <v>1</v>
      </c>
      <c r="F270" s="1268">
        <v>1</v>
      </c>
      <c r="G270" s="1223">
        <f t="shared" si="44"/>
        <v>100</v>
      </c>
      <c r="H270" s="1172">
        <v>607</v>
      </c>
      <c r="I270" s="1175">
        <v>607</v>
      </c>
      <c r="J270" s="1175">
        <f t="shared" si="45"/>
        <v>100</v>
      </c>
    </row>
    <row r="271" spans="1:10" ht="22.5" customHeight="1" x14ac:dyDescent="0.2">
      <c r="A271" s="1357">
        <v>1.1399999999999999</v>
      </c>
      <c r="B271" s="1355" t="s">
        <v>538</v>
      </c>
      <c r="C271" s="1648" t="s">
        <v>69</v>
      </c>
      <c r="D271" s="1356" t="s">
        <v>538</v>
      </c>
      <c r="E271" s="1349">
        <v>1</v>
      </c>
      <c r="F271" s="1268">
        <v>0</v>
      </c>
      <c r="G271" s="1223">
        <f t="shared" si="44"/>
        <v>0</v>
      </c>
      <c r="H271" s="1172">
        <v>4824</v>
      </c>
      <c r="I271" s="1175">
        <v>0</v>
      </c>
      <c r="J271" s="1175">
        <f t="shared" si="45"/>
        <v>0</v>
      </c>
    </row>
    <row r="272" spans="1:10" ht="51" x14ac:dyDescent="0.2">
      <c r="A272" s="1197">
        <v>1.1499999999999999</v>
      </c>
      <c r="B272" s="1355" t="s">
        <v>2053</v>
      </c>
      <c r="C272" s="1648" t="s">
        <v>69</v>
      </c>
      <c r="D272" s="1356" t="s">
        <v>2053</v>
      </c>
      <c r="E272" s="1349">
        <v>1</v>
      </c>
      <c r="F272" s="1269">
        <v>0.90400000000000003</v>
      </c>
      <c r="G272" s="1223">
        <f t="shared" si="44"/>
        <v>90.4</v>
      </c>
      <c r="H272" s="1172">
        <v>38094</v>
      </c>
      <c r="I272" s="1175">
        <v>37875.769999999997</v>
      </c>
      <c r="J272" s="1175">
        <f t="shared" si="45"/>
        <v>99.42712763164802</v>
      </c>
    </row>
    <row r="273" spans="1:10" ht="42" customHeight="1" x14ac:dyDescent="0.2">
      <c r="A273" s="1357">
        <v>1.1599999999999999</v>
      </c>
      <c r="B273" s="1355" t="s">
        <v>539</v>
      </c>
      <c r="C273" s="1648" t="s">
        <v>69</v>
      </c>
      <c r="D273" s="1356" t="s">
        <v>539</v>
      </c>
      <c r="E273" s="1349">
        <v>1</v>
      </c>
      <c r="F273" s="1269">
        <v>0.65600000000000003</v>
      </c>
      <c r="G273" s="1223">
        <f t="shared" si="44"/>
        <v>65.600000000000009</v>
      </c>
      <c r="H273" s="1172">
        <v>7200</v>
      </c>
      <c r="I273" s="1175">
        <v>4723.1000000000004</v>
      </c>
      <c r="J273" s="1175">
        <f t="shared" si="45"/>
        <v>65.598611111111111</v>
      </c>
    </row>
    <row r="274" spans="1:10" ht="25.5" x14ac:dyDescent="0.2">
      <c r="A274" s="1197">
        <v>1.17</v>
      </c>
      <c r="B274" s="1355" t="s">
        <v>2054</v>
      </c>
      <c r="C274" s="1648" t="s">
        <v>69</v>
      </c>
      <c r="D274" s="1356" t="s">
        <v>2054</v>
      </c>
      <c r="E274" s="1349">
        <v>1</v>
      </c>
      <c r="F274" s="1269">
        <v>0</v>
      </c>
      <c r="G274" s="1223">
        <f t="shared" si="44"/>
        <v>0</v>
      </c>
      <c r="H274" s="1172">
        <v>350</v>
      </c>
      <c r="I274" s="1175">
        <v>0</v>
      </c>
      <c r="J274" s="1175">
        <f t="shared" si="45"/>
        <v>0</v>
      </c>
    </row>
    <row r="275" spans="1:10" ht="25.5" x14ac:dyDescent="0.2">
      <c r="A275" s="1357">
        <v>1.18</v>
      </c>
      <c r="B275" s="1355" t="s">
        <v>540</v>
      </c>
      <c r="C275" s="1648" t="s">
        <v>69</v>
      </c>
      <c r="D275" s="1356" t="s">
        <v>540</v>
      </c>
      <c r="E275" s="1349">
        <v>1</v>
      </c>
      <c r="F275" s="1269">
        <v>0.82399999999999995</v>
      </c>
      <c r="G275" s="1223">
        <f t="shared" si="44"/>
        <v>82.399999999999991</v>
      </c>
      <c r="H275" s="1172">
        <v>1370</v>
      </c>
      <c r="I275" s="1175">
        <v>1129.31</v>
      </c>
      <c r="J275" s="1175">
        <f t="shared" si="45"/>
        <v>82.431386861313854</v>
      </c>
    </row>
    <row r="276" spans="1:10" ht="25.5" x14ac:dyDescent="0.2">
      <c r="A276" s="1197">
        <v>1.19</v>
      </c>
      <c r="B276" s="1355" t="s">
        <v>541</v>
      </c>
      <c r="C276" s="1648" t="s">
        <v>69</v>
      </c>
      <c r="D276" s="1356" t="s">
        <v>541</v>
      </c>
      <c r="E276" s="1349">
        <v>1</v>
      </c>
      <c r="F276" s="1269">
        <v>0.75700000000000001</v>
      </c>
      <c r="G276" s="1223">
        <f t="shared" si="44"/>
        <v>75.7</v>
      </c>
      <c r="H276" s="1172">
        <v>5500</v>
      </c>
      <c r="I276" s="1175">
        <v>4168.1899999999996</v>
      </c>
      <c r="J276" s="1175">
        <f t="shared" si="45"/>
        <v>75.785272727272726</v>
      </c>
    </row>
    <row r="277" spans="1:10" ht="25.5" x14ac:dyDescent="0.2">
      <c r="A277" s="1357">
        <v>1.2</v>
      </c>
      <c r="B277" s="1355" t="s">
        <v>2055</v>
      </c>
      <c r="C277" s="1648" t="s">
        <v>69</v>
      </c>
      <c r="D277" s="1356" t="s">
        <v>2055</v>
      </c>
      <c r="E277" s="1349">
        <v>1</v>
      </c>
      <c r="F277" s="1269">
        <v>0.66700000000000004</v>
      </c>
      <c r="G277" s="1223">
        <f t="shared" si="44"/>
        <v>66.7</v>
      </c>
      <c r="H277" s="1172">
        <v>7200</v>
      </c>
      <c r="I277" s="1175">
        <v>4800</v>
      </c>
      <c r="J277" s="1175">
        <f t="shared" si="45"/>
        <v>66.666666666666657</v>
      </c>
    </row>
    <row r="278" spans="1:10" ht="51" x14ac:dyDescent="0.2">
      <c r="A278" s="1197">
        <v>1.21</v>
      </c>
      <c r="B278" s="1355" t="s">
        <v>542</v>
      </c>
      <c r="C278" s="1648" t="s">
        <v>69</v>
      </c>
      <c r="D278" s="1356" t="s">
        <v>542</v>
      </c>
      <c r="E278" s="1349">
        <v>1</v>
      </c>
      <c r="F278" s="1269">
        <v>0.97699999999999998</v>
      </c>
      <c r="G278" s="1223">
        <f t="shared" si="44"/>
        <v>97.7</v>
      </c>
      <c r="H278" s="1172">
        <v>4128</v>
      </c>
      <c r="I278" s="1175">
        <v>4035.7</v>
      </c>
      <c r="J278" s="1175">
        <f t="shared" si="45"/>
        <v>97.764050387596896</v>
      </c>
    </row>
    <row r="279" spans="1:10" ht="25.5" x14ac:dyDescent="0.2">
      <c r="A279" s="1357">
        <v>1.22</v>
      </c>
      <c r="B279" s="1221" t="s">
        <v>543</v>
      </c>
      <c r="C279" s="1648" t="s">
        <v>69</v>
      </c>
      <c r="D279" s="1358" t="s">
        <v>543</v>
      </c>
      <c r="E279" s="1349">
        <v>1</v>
      </c>
      <c r="F279" s="1268">
        <v>1</v>
      </c>
      <c r="G279" s="1223">
        <f t="shared" si="44"/>
        <v>100</v>
      </c>
      <c r="H279" s="1172">
        <v>100</v>
      </c>
      <c r="I279" s="1175">
        <v>100</v>
      </c>
      <c r="J279" s="1175">
        <f t="shared" si="45"/>
        <v>100</v>
      </c>
    </row>
    <row r="280" spans="1:10" ht="51" x14ac:dyDescent="0.2">
      <c r="A280" s="1197">
        <v>1.23</v>
      </c>
      <c r="B280" s="1221" t="s">
        <v>697</v>
      </c>
      <c r="C280" s="1648" t="s">
        <v>69</v>
      </c>
      <c r="D280" s="1356" t="s">
        <v>2056</v>
      </c>
      <c r="E280" s="1349">
        <v>1</v>
      </c>
      <c r="F280" s="1268">
        <v>1</v>
      </c>
      <c r="G280" s="1223">
        <f t="shared" si="44"/>
        <v>100</v>
      </c>
      <c r="H280" s="1172">
        <v>250</v>
      </c>
      <c r="I280" s="1175">
        <v>250</v>
      </c>
      <c r="J280" s="1175">
        <f>+I280/H280*100</f>
        <v>100</v>
      </c>
    </row>
    <row r="281" spans="1:10" ht="51" x14ac:dyDescent="0.2">
      <c r="A281" s="1357">
        <v>1.24</v>
      </c>
      <c r="B281" s="1221" t="s">
        <v>544</v>
      </c>
      <c r="C281" s="1648" t="s">
        <v>69</v>
      </c>
      <c r="D281" s="1358" t="s">
        <v>544</v>
      </c>
      <c r="E281" s="1349">
        <v>1</v>
      </c>
      <c r="F281" s="1268">
        <v>1</v>
      </c>
      <c r="G281" s="1223">
        <f t="shared" si="44"/>
        <v>100</v>
      </c>
      <c r="H281" s="1172">
        <v>800</v>
      </c>
      <c r="I281" s="1175">
        <v>800</v>
      </c>
      <c r="J281" s="1175">
        <f t="shared" si="45"/>
        <v>100</v>
      </c>
    </row>
    <row r="282" spans="1:10" ht="25.5" x14ac:dyDescent="0.2">
      <c r="A282" s="1197">
        <v>1.25</v>
      </c>
      <c r="B282" s="1221" t="s">
        <v>545</v>
      </c>
      <c r="C282" s="1648" t="s">
        <v>69</v>
      </c>
      <c r="D282" s="1356" t="s">
        <v>545</v>
      </c>
      <c r="E282" s="1349">
        <v>1</v>
      </c>
      <c r="F282" s="1269">
        <v>0.77900000000000003</v>
      </c>
      <c r="G282" s="1223">
        <f t="shared" si="44"/>
        <v>77.900000000000006</v>
      </c>
      <c r="H282" s="1172">
        <v>61608</v>
      </c>
      <c r="I282" s="1175">
        <v>52589.03</v>
      </c>
      <c r="J282" s="1175">
        <f t="shared" si="45"/>
        <v>85.360716140760942</v>
      </c>
    </row>
    <row r="283" spans="1:10" ht="38.25" x14ac:dyDescent="0.2">
      <c r="A283" s="1357">
        <v>1.26</v>
      </c>
      <c r="B283" s="1221" t="s">
        <v>546</v>
      </c>
      <c r="C283" s="1648" t="s">
        <v>69</v>
      </c>
      <c r="D283" s="1356" t="s">
        <v>546</v>
      </c>
      <c r="E283" s="1349">
        <v>13</v>
      </c>
      <c r="F283" s="1269">
        <v>13</v>
      </c>
      <c r="G283" s="1223">
        <f t="shared" si="44"/>
        <v>100</v>
      </c>
      <c r="H283" s="1172">
        <v>252026</v>
      </c>
      <c r="I283" s="1175">
        <v>216023.65</v>
      </c>
      <c r="J283" s="1175">
        <f t="shared" si="45"/>
        <v>85.714827041654431</v>
      </c>
    </row>
    <row r="284" spans="1:10" ht="27" customHeight="1" x14ac:dyDescent="0.2">
      <c r="A284" s="1197">
        <v>1.27</v>
      </c>
      <c r="B284" s="1221" t="s">
        <v>2057</v>
      </c>
      <c r="C284" s="1647" t="s">
        <v>69</v>
      </c>
      <c r="D284" s="1356" t="s">
        <v>2057</v>
      </c>
      <c r="E284" s="1349">
        <v>13</v>
      </c>
      <c r="F284" s="1269">
        <v>13</v>
      </c>
      <c r="G284" s="1223">
        <f t="shared" si="44"/>
        <v>100</v>
      </c>
      <c r="H284" s="1172">
        <v>16008</v>
      </c>
      <c r="I284" s="1175">
        <v>7433.1</v>
      </c>
      <c r="J284" s="1175">
        <f t="shared" si="45"/>
        <v>46.433658170914541</v>
      </c>
    </row>
    <row r="285" spans="1:10" ht="17.25" customHeight="1" x14ac:dyDescent="0.2">
      <c r="A285" s="1191">
        <v>2</v>
      </c>
      <c r="B285" s="1353" t="s">
        <v>65</v>
      </c>
      <c r="C285" s="2487" t="s">
        <v>69</v>
      </c>
      <c r="D285" s="1177" t="s">
        <v>366</v>
      </c>
      <c r="E285" s="1172"/>
      <c r="F285" s="1359"/>
      <c r="G285" s="1223"/>
      <c r="H285" s="1237">
        <f>SUM(H286:H288)</f>
        <v>124363</v>
      </c>
      <c r="I285" s="1238">
        <f>SUM(I286:I288)</f>
        <v>76297.16</v>
      </c>
      <c r="J285" s="1238">
        <f t="shared" si="45"/>
        <v>61.35036948288478</v>
      </c>
    </row>
    <row r="286" spans="1:10" ht="25.5" x14ac:dyDescent="0.2">
      <c r="A286" s="1197">
        <v>2.1</v>
      </c>
      <c r="B286" s="1360" t="s">
        <v>2067</v>
      </c>
      <c r="C286" s="2488"/>
      <c r="D286" s="1177" t="s">
        <v>2068</v>
      </c>
      <c r="E286" s="1172">
        <v>5</v>
      </c>
      <c r="F286" s="1359">
        <v>5</v>
      </c>
      <c r="G286" s="1223">
        <f t="shared" ref="G286:G288" si="46">+F286/E286*100</f>
        <v>100</v>
      </c>
      <c r="H286" s="1172">
        <v>118067</v>
      </c>
      <c r="I286" s="1175">
        <v>74297.16</v>
      </c>
      <c r="J286" s="1175">
        <f t="shared" si="45"/>
        <v>62.927964630252319</v>
      </c>
    </row>
    <row r="287" spans="1:10" ht="38.25" x14ac:dyDescent="0.2">
      <c r="A287" s="1197">
        <v>2.2000000000000002</v>
      </c>
      <c r="B287" s="1360" t="s">
        <v>2069</v>
      </c>
      <c r="C287" s="2488"/>
      <c r="D287" s="1177" t="s">
        <v>2069</v>
      </c>
      <c r="E287" s="1172">
        <v>5</v>
      </c>
      <c r="F287" s="1359">
        <v>5</v>
      </c>
      <c r="G287" s="1223">
        <f t="shared" si="46"/>
        <v>100</v>
      </c>
      <c r="H287" s="1174">
        <v>5270</v>
      </c>
      <c r="I287" s="1186">
        <v>2000</v>
      </c>
      <c r="J287" s="1186">
        <f t="shared" si="45"/>
        <v>37.950664136622393</v>
      </c>
    </row>
    <row r="288" spans="1:10" ht="28.5" customHeight="1" x14ac:dyDescent="0.2">
      <c r="A288" s="1197">
        <v>2.2999999999999998</v>
      </c>
      <c r="B288" s="1360" t="s">
        <v>2070</v>
      </c>
      <c r="C288" s="2489"/>
      <c r="D288" s="1177" t="s">
        <v>2070</v>
      </c>
      <c r="E288" s="1172">
        <v>1</v>
      </c>
      <c r="F288" s="1359">
        <v>0</v>
      </c>
      <c r="G288" s="1223">
        <f t="shared" si="46"/>
        <v>0</v>
      </c>
      <c r="H288" s="1174">
        <v>1026</v>
      </c>
      <c r="I288" s="1186">
        <v>0</v>
      </c>
      <c r="J288" s="1186">
        <f t="shared" si="45"/>
        <v>0</v>
      </c>
    </row>
    <row r="289" spans="1:10" ht="25.5" x14ac:dyDescent="0.2">
      <c r="A289" s="1361"/>
      <c r="B289" s="1353" t="s">
        <v>2071</v>
      </c>
      <c r="C289" s="2488" t="s">
        <v>69</v>
      </c>
      <c r="D289" s="1177"/>
      <c r="E289" s="1172"/>
      <c r="F289" s="1359"/>
      <c r="G289" s="1172"/>
      <c r="H289" s="1164">
        <f>+H290</f>
        <v>330958</v>
      </c>
      <c r="I289" s="1165">
        <f>+I290</f>
        <v>42492.800000000003</v>
      </c>
      <c r="J289" s="1165">
        <f t="shared" si="45"/>
        <v>12.83933308758211</v>
      </c>
    </row>
    <row r="290" spans="1:10" ht="25.5" x14ac:dyDescent="0.2">
      <c r="A290" s="2040">
        <v>2.2999999999999998</v>
      </c>
      <c r="B290" s="1362" t="s">
        <v>2072</v>
      </c>
      <c r="C290" s="2488"/>
      <c r="D290" s="1177" t="s">
        <v>2072</v>
      </c>
      <c r="E290" s="1172">
        <v>1</v>
      </c>
      <c r="F290" s="1359">
        <v>0.128</v>
      </c>
      <c r="G290" s="1223">
        <f t="shared" ref="G290" si="47">+F290/E290*100</f>
        <v>12.8</v>
      </c>
      <c r="H290" s="2294">
        <v>330958</v>
      </c>
      <c r="I290" s="2279">
        <v>42492.800000000003</v>
      </c>
      <c r="J290" s="1186">
        <f t="shared" si="45"/>
        <v>12.83933308758211</v>
      </c>
    </row>
    <row r="291" spans="1:10" ht="18" customHeight="1" x14ac:dyDescent="0.2">
      <c r="A291" s="2490" t="s">
        <v>378</v>
      </c>
      <c r="B291" s="2490"/>
      <c r="C291" s="1363"/>
      <c r="D291" s="1364"/>
      <c r="E291" s="1365"/>
      <c r="F291" s="1365"/>
      <c r="G291" s="1365"/>
      <c r="H291" s="2272">
        <f>SUM(H292:H293)</f>
        <v>5373832</v>
      </c>
      <c r="I291" s="2273">
        <f>SUM(I292:I293)</f>
        <v>2284527.9300000002</v>
      </c>
      <c r="J291" s="2273">
        <f>+I291/H291*100</f>
        <v>42.512083183843487</v>
      </c>
    </row>
    <row r="292" spans="1:10" ht="27" customHeight="1" x14ac:dyDescent="0.2">
      <c r="A292" s="1187">
        <v>1</v>
      </c>
      <c r="B292" s="1366" t="s">
        <v>58</v>
      </c>
      <c r="C292" s="1647" t="s">
        <v>352</v>
      </c>
      <c r="D292" s="1177" t="s">
        <v>41</v>
      </c>
      <c r="E292" s="1172">
        <v>100</v>
      </c>
      <c r="F292" s="1172">
        <v>50</v>
      </c>
      <c r="G292" s="1175">
        <v>50</v>
      </c>
      <c r="H292" s="1174">
        <v>3186688</v>
      </c>
      <c r="I292" s="1186">
        <f>1276798.77-44425.88</f>
        <v>1232372.8900000001</v>
      </c>
      <c r="J292" s="1186">
        <f>+I292/H292*100</f>
        <v>38.67253053954451</v>
      </c>
    </row>
    <row r="293" spans="1:10" ht="27.75" customHeight="1" x14ac:dyDescent="0.2">
      <c r="A293" s="1187">
        <v>2</v>
      </c>
      <c r="B293" s="1366" t="s">
        <v>367</v>
      </c>
      <c r="C293" s="1647" t="s">
        <v>352</v>
      </c>
      <c r="D293" s="1177" t="s">
        <v>363</v>
      </c>
      <c r="E293" s="1172">
        <v>12</v>
      </c>
      <c r="F293" s="1172">
        <v>6</v>
      </c>
      <c r="G293" s="1175">
        <v>50</v>
      </c>
      <c r="H293" s="1174">
        <v>2187144</v>
      </c>
      <c r="I293" s="1186">
        <v>1052155.04</v>
      </c>
      <c r="J293" s="1186">
        <f t="shared" ref="J293" si="48">+I293/H293*100</f>
        <v>48.106345078330463</v>
      </c>
    </row>
    <row r="294" spans="1:10" ht="18" customHeight="1" x14ac:dyDescent="0.2">
      <c r="A294" s="2349" t="s">
        <v>2058</v>
      </c>
      <c r="B294" s="2349"/>
      <c r="C294" s="1367"/>
      <c r="D294" s="1368"/>
      <c r="E294" s="1369"/>
      <c r="F294" s="1369"/>
      <c r="G294" s="1369"/>
      <c r="H294" s="2272">
        <f>+H295</f>
        <v>27794496</v>
      </c>
      <c r="I294" s="2273">
        <f>+I295</f>
        <v>12382996.92</v>
      </c>
      <c r="J294" s="2273">
        <f>+I294/H294*100</f>
        <v>44.551975038511223</v>
      </c>
    </row>
    <row r="295" spans="1:10" ht="17.25" customHeight="1" x14ac:dyDescent="0.2">
      <c r="A295" s="1332"/>
      <c r="B295" s="1370" t="s">
        <v>380</v>
      </c>
      <c r="C295" s="1371"/>
      <c r="D295" s="1372"/>
      <c r="E295" s="1373"/>
      <c r="F295" s="1373"/>
      <c r="G295" s="1373"/>
      <c r="H295" s="1164">
        <f>SUM(H296:H297)</f>
        <v>27794496</v>
      </c>
      <c r="I295" s="1165">
        <f>SUM(I296:I297)</f>
        <v>12382996.92</v>
      </c>
      <c r="J295" s="1165">
        <f>+I295/H295*100</f>
        <v>44.551975038511223</v>
      </c>
    </row>
    <row r="296" spans="1:10" ht="18.75" customHeight="1" x14ac:dyDescent="0.2">
      <c r="A296" s="1619">
        <v>1</v>
      </c>
      <c r="B296" s="1334" t="s">
        <v>2059</v>
      </c>
      <c r="C296" s="1183" t="s">
        <v>37</v>
      </c>
      <c r="D296" s="1183" t="s">
        <v>41</v>
      </c>
      <c r="E296" s="1174">
        <v>2</v>
      </c>
      <c r="F296" s="1174">
        <v>1</v>
      </c>
      <c r="G296" s="1186">
        <f>+F296/E296*100</f>
        <v>50</v>
      </c>
      <c r="H296" s="1374">
        <v>97496</v>
      </c>
      <c r="I296" s="1186">
        <v>8450</v>
      </c>
      <c r="J296" s="1186">
        <f>+I296/H296*100</f>
        <v>8.6670222368097161</v>
      </c>
    </row>
    <row r="297" spans="1:10" ht="18" customHeight="1" x14ac:dyDescent="0.2">
      <c r="A297" s="1619">
        <v>2</v>
      </c>
      <c r="B297" s="1334" t="s">
        <v>368</v>
      </c>
      <c r="C297" s="1183" t="s">
        <v>37</v>
      </c>
      <c r="D297" s="1183" t="s">
        <v>41</v>
      </c>
      <c r="E297" s="1174">
        <v>2</v>
      </c>
      <c r="F297" s="1174">
        <v>1</v>
      </c>
      <c r="G297" s="1186">
        <f>+F297/E297*100</f>
        <v>50</v>
      </c>
      <c r="H297" s="1174">
        <v>27697000</v>
      </c>
      <c r="I297" s="1186">
        <v>12374546.92</v>
      </c>
      <c r="J297" s="1186">
        <f>+I297/H297*100</f>
        <v>44.678293389175721</v>
      </c>
    </row>
    <row r="298" spans="1:10" ht="18" customHeight="1" x14ac:dyDescent="0.2">
      <c r="A298" s="2349" t="s">
        <v>742</v>
      </c>
      <c r="B298" s="2349"/>
      <c r="C298" s="1352"/>
      <c r="D298" s="1263"/>
      <c r="E298" s="1352"/>
      <c r="F298" s="1375"/>
      <c r="G298" s="1375"/>
      <c r="H298" s="2276">
        <f>+H299</f>
        <v>4691580</v>
      </c>
      <c r="I298" s="1234">
        <f>+I299</f>
        <v>1996478.25</v>
      </c>
      <c r="J298" s="2273">
        <f>+I298/H298*100</f>
        <v>42.554496566188789</v>
      </c>
    </row>
    <row r="299" spans="1:10" ht="18" customHeight="1" x14ac:dyDescent="0.2">
      <c r="A299" s="1278">
        <v>1</v>
      </c>
      <c r="B299" s="1355" t="s">
        <v>2060</v>
      </c>
      <c r="C299" s="1331" t="s">
        <v>32</v>
      </c>
      <c r="D299" s="1183" t="s">
        <v>41</v>
      </c>
      <c r="E299" s="1376"/>
      <c r="F299" s="1377"/>
      <c r="G299" s="1378"/>
      <c r="H299" s="1379">
        <v>4691580</v>
      </c>
      <c r="I299" s="1380">
        <v>1996478.25</v>
      </c>
      <c r="J299" s="1381">
        <f t="shared" ref="J299" si="49">I299/H299*100</f>
        <v>42.554496566188789</v>
      </c>
    </row>
  </sheetData>
  <mergeCells count="33">
    <mergeCell ref="H6:J6"/>
    <mergeCell ref="C8:G8"/>
    <mergeCell ref="A9:B9"/>
    <mergeCell ref="A16:A18"/>
    <mergeCell ref="B16:B18"/>
    <mergeCell ref="C16:C18"/>
    <mergeCell ref="A298:B298"/>
    <mergeCell ref="A20:A21"/>
    <mergeCell ref="B20:B21"/>
    <mergeCell ref="C20:C21"/>
    <mergeCell ref="A2:B2"/>
    <mergeCell ref="A4:F4"/>
    <mergeCell ref="A5:F5"/>
    <mergeCell ref="A6:A7"/>
    <mergeCell ref="B6:B7"/>
    <mergeCell ref="C6:C7"/>
    <mergeCell ref="D6:G6"/>
    <mergeCell ref="A80:B80"/>
    <mergeCell ref="A3:J3"/>
    <mergeCell ref="A256:B256"/>
    <mergeCell ref="C24:C25"/>
    <mergeCell ref="A27:A28"/>
    <mergeCell ref="C285:C288"/>
    <mergeCell ref="C289:C290"/>
    <mergeCell ref="A294:B294"/>
    <mergeCell ref="A291:B291"/>
    <mergeCell ref="A24:A25"/>
    <mergeCell ref="B24:B25"/>
    <mergeCell ref="B27:B28"/>
    <mergeCell ref="C27:C28"/>
    <mergeCell ref="A60:A62"/>
    <mergeCell ref="B60:B62"/>
    <mergeCell ref="C60:C62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J128"/>
  <sheetViews>
    <sheetView view="pageBreakPreview" topLeftCell="A100" zoomScaleNormal="100" zoomScaleSheetLayoutView="100" workbookViewId="0">
      <selection activeCell="H138" sqref="H138"/>
    </sheetView>
  </sheetViews>
  <sheetFormatPr baseColWidth="10" defaultRowHeight="12.75" x14ac:dyDescent="0.2"/>
  <cols>
    <col min="1" max="1" width="4.140625" style="4" customWidth="1"/>
    <col min="2" max="2" width="61.42578125" style="2" customWidth="1"/>
    <col min="3" max="3" width="16.28515625" style="5" customWidth="1"/>
    <col min="4" max="4" width="16.5703125" style="26" customWidth="1"/>
    <col min="5" max="5" width="12.42578125" style="40" customWidth="1"/>
    <col min="6" max="6" width="12.5703125" style="26" customWidth="1"/>
    <col min="7" max="7" width="11.5703125" style="2" customWidth="1"/>
    <col min="8" max="8" width="13.85546875" style="2" customWidth="1"/>
    <col min="9" max="9" width="13.5703125" style="2" customWidth="1"/>
    <col min="10" max="10" width="9.5703125" style="2" customWidth="1"/>
    <col min="11" max="16384" width="11.42578125" style="2"/>
  </cols>
  <sheetData>
    <row r="1" spans="1:10" ht="10.5" customHeight="1" x14ac:dyDescent="0.2"/>
    <row r="2" spans="1:10" ht="18" customHeight="1" x14ac:dyDescent="0.2">
      <c r="A2" s="2508" t="s">
        <v>31</v>
      </c>
      <c r="B2" s="2509"/>
      <c r="C2" s="730"/>
      <c r="D2" s="731"/>
      <c r="E2" s="732"/>
      <c r="F2" s="731"/>
      <c r="G2" s="733"/>
      <c r="H2" s="733"/>
      <c r="I2" s="733"/>
      <c r="J2" s="734"/>
    </row>
    <row r="3" spans="1:10" ht="27" customHeight="1" x14ac:dyDescent="0.2">
      <c r="A3" s="2429" t="s">
        <v>2049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ht="18" customHeight="1" x14ac:dyDescent="0.2">
      <c r="A4" s="2366" t="s">
        <v>27</v>
      </c>
      <c r="B4" s="2337"/>
      <c r="C4" s="2337"/>
      <c r="D4" s="2337"/>
      <c r="E4" s="2337"/>
      <c r="F4" s="2337"/>
      <c r="G4" s="75"/>
      <c r="H4" s="75"/>
      <c r="I4" s="75"/>
      <c r="J4" s="648"/>
    </row>
    <row r="5" spans="1:10" ht="18" customHeight="1" x14ac:dyDescent="0.2">
      <c r="A5" s="2339" t="s">
        <v>29</v>
      </c>
      <c r="B5" s="2432"/>
      <c r="C5" s="2432"/>
      <c r="D5" s="2432"/>
      <c r="E5" s="2432"/>
      <c r="F5" s="2432"/>
      <c r="G5" s="75"/>
      <c r="H5" s="75"/>
      <c r="I5" s="75"/>
      <c r="J5" s="648"/>
    </row>
    <row r="6" spans="1:10" ht="23.25" customHeight="1" x14ac:dyDescent="0.2">
      <c r="A6" s="2510" t="s">
        <v>0</v>
      </c>
      <c r="B6" s="2510" t="s">
        <v>1</v>
      </c>
      <c r="C6" s="2510" t="s">
        <v>2</v>
      </c>
      <c r="D6" s="2506" t="s">
        <v>1781</v>
      </c>
      <c r="E6" s="2506"/>
      <c r="F6" s="2506"/>
      <c r="G6" s="2506"/>
      <c r="H6" s="2506" t="s">
        <v>774</v>
      </c>
      <c r="I6" s="2506"/>
      <c r="J6" s="2506"/>
    </row>
    <row r="7" spans="1:10" ht="25.5" customHeight="1" x14ac:dyDescent="0.2">
      <c r="A7" s="2510"/>
      <c r="B7" s="2510"/>
      <c r="C7" s="2510"/>
      <c r="D7" s="1652" t="s">
        <v>3</v>
      </c>
      <c r="E7" s="1652" t="s">
        <v>4</v>
      </c>
      <c r="F7" s="1652" t="s">
        <v>747</v>
      </c>
      <c r="G7" s="1652" t="s">
        <v>746</v>
      </c>
      <c r="H7" s="739" t="s">
        <v>2211</v>
      </c>
      <c r="I7" s="1652" t="s">
        <v>747</v>
      </c>
      <c r="J7" s="1652" t="s">
        <v>746</v>
      </c>
    </row>
    <row r="8" spans="1:10" customFormat="1" ht="17.25" customHeight="1" x14ac:dyDescent="0.25">
      <c r="A8" s="735"/>
      <c r="B8" s="736"/>
      <c r="C8" s="2507" t="s">
        <v>2302</v>
      </c>
      <c r="D8" s="2507"/>
      <c r="E8" s="2507"/>
      <c r="F8" s="2507"/>
      <c r="G8" s="2507"/>
      <c r="H8" s="719">
        <f>+H9+H11+H58</f>
        <v>2160320.2467532465</v>
      </c>
      <c r="I8" s="720">
        <f>+I9+I11+I58</f>
        <v>756610.13</v>
      </c>
      <c r="J8" s="721">
        <f>+I8/H8*100</f>
        <v>35.023054157693153</v>
      </c>
    </row>
    <row r="9" spans="1:10" customFormat="1" ht="18.75" customHeight="1" x14ac:dyDescent="0.25">
      <c r="A9" s="2505" t="s">
        <v>2207</v>
      </c>
      <c r="B9" s="2505"/>
      <c r="C9" s="683"/>
      <c r="D9" s="683"/>
      <c r="E9" s="722"/>
      <c r="F9" s="722"/>
      <c r="G9" s="722"/>
      <c r="H9" s="737">
        <f>+H10</f>
        <v>199719</v>
      </c>
      <c r="I9" s="738">
        <f>+I10</f>
        <v>96093.84</v>
      </c>
      <c r="J9" s="738">
        <f>+J10</f>
        <v>48.114520901867124</v>
      </c>
    </row>
    <row r="10" spans="1:10" customFormat="1" ht="18" customHeight="1" x14ac:dyDescent="0.25">
      <c r="A10" s="723"/>
      <c r="B10" s="724" t="s">
        <v>2208</v>
      </c>
      <c r="C10" s="725" t="s">
        <v>2209</v>
      </c>
      <c r="D10" s="724" t="s">
        <v>2210</v>
      </c>
      <c r="E10" s="726">
        <v>21</v>
      </c>
      <c r="F10" s="726">
        <v>10</v>
      </c>
      <c r="G10" s="727">
        <f>SUM(F10*100/E10)</f>
        <v>47.61904761904762</v>
      </c>
      <c r="H10" s="728">
        <v>199719</v>
      </c>
      <c r="I10" s="729">
        <v>96093.84</v>
      </c>
      <c r="J10" s="729">
        <f>SUM(I10*100/H10)</f>
        <v>48.114520901867124</v>
      </c>
    </row>
    <row r="11" spans="1:10" customFormat="1" ht="18.75" customHeight="1" x14ac:dyDescent="0.25">
      <c r="A11" s="2504" t="s">
        <v>2136</v>
      </c>
      <c r="B11" s="2504"/>
      <c r="C11" s="683"/>
      <c r="D11" s="683"/>
      <c r="E11" s="684"/>
      <c r="F11" s="684"/>
      <c r="G11" s="684"/>
      <c r="H11" s="685">
        <f>+H12+H17+H34+H42+H46+H52</f>
        <v>234025</v>
      </c>
      <c r="I11" s="686">
        <f>+I12+I17+I34+I42+I46+I52</f>
        <v>109426.54</v>
      </c>
      <c r="J11" s="686">
        <f>+I11/H11*100</f>
        <v>46.758483068048285</v>
      </c>
    </row>
    <row r="12" spans="1:10" customFormat="1" ht="26.25" customHeight="1" x14ac:dyDescent="0.25">
      <c r="A12" s="827">
        <v>1</v>
      </c>
      <c r="B12" s="834" t="s">
        <v>2137</v>
      </c>
      <c r="C12" s="835"/>
      <c r="D12" s="821"/>
      <c r="E12" s="832"/>
      <c r="F12" s="832"/>
      <c r="G12" s="832"/>
      <c r="H12" s="824">
        <f>SUM(H13:H16)</f>
        <v>17992</v>
      </c>
      <c r="I12" s="825">
        <f>SUM(I13:I16)</f>
        <v>7200.54</v>
      </c>
      <c r="J12" s="806">
        <f t="shared" ref="J12" si="0">+I12/H12*100</f>
        <v>40.020787016451756</v>
      </c>
    </row>
    <row r="13" spans="1:10" customFormat="1" ht="19.5" customHeight="1" x14ac:dyDescent="0.25">
      <c r="A13" s="690">
        <v>1.1000000000000001</v>
      </c>
      <c r="B13" s="691" t="s">
        <v>2138</v>
      </c>
      <c r="C13" s="692" t="s">
        <v>32</v>
      </c>
      <c r="D13" s="693" t="s">
        <v>85</v>
      </c>
      <c r="E13" s="694">
        <v>1</v>
      </c>
      <c r="F13" s="694">
        <v>1</v>
      </c>
      <c r="G13" s="695">
        <f>+F13/E13*100</f>
        <v>100</v>
      </c>
      <c r="H13" s="696">
        <v>5990</v>
      </c>
      <c r="I13" s="809">
        <v>2500</v>
      </c>
      <c r="J13" s="695">
        <f>+I13/H13*100</f>
        <v>41.736227045075125</v>
      </c>
    </row>
    <row r="14" spans="1:10" customFormat="1" ht="24.75" customHeight="1" x14ac:dyDescent="0.25">
      <c r="A14" s="690">
        <v>1.2</v>
      </c>
      <c r="B14" s="691" t="s">
        <v>2139</v>
      </c>
      <c r="C14" s="692" t="s">
        <v>32</v>
      </c>
      <c r="D14" s="697" t="s">
        <v>2140</v>
      </c>
      <c r="E14" s="694">
        <v>11</v>
      </c>
      <c r="F14" s="694">
        <v>0</v>
      </c>
      <c r="G14" s="695">
        <f t="shared" ref="G14:G57" si="1">+F14/E14*100</f>
        <v>0</v>
      </c>
      <c r="H14" s="696">
        <v>6001</v>
      </c>
      <c r="I14" s="809">
        <v>2000</v>
      </c>
      <c r="J14" s="695">
        <f t="shared" ref="J14:J57" si="2">+I14/H14*100</f>
        <v>33.327778703549413</v>
      </c>
    </row>
    <row r="15" spans="1:10" customFormat="1" ht="14.25" customHeight="1" x14ac:dyDescent="0.25">
      <c r="A15" s="690">
        <v>1.3</v>
      </c>
      <c r="B15" s="691" t="s">
        <v>2141</v>
      </c>
      <c r="C15" s="692" t="s">
        <v>32</v>
      </c>
      <c r="D15" s="693" t="s">
        <v>75</v>
      </c>
      <c r="E15" s="694">
        <v>3</v>
      </c>
      <c r="F15" s="694">
        <v>0</v>
      </c>
      <c r="G15" s="695">
        <f t="shared" si="1"/>
        <v>0</v>
      </c>
      <c r="H15" s="696">
        <v>6001</v>
      </c>
      <c r="I15" s="809">
        <v>2700.54</v>
      </c>
      <c r="J15" s="695">
        <f t="shared" si="2"/>
        <v>45.00149975004166</v>
      </c>
    </row>
    <row r="16" spans="1:10" customFormat="1" ht="18.75" customHeight="1" x14ac:dyDescent="0.25">
      <c r="A16" s="690">
        <v>1.4</v>
      </c>
      <c r="B16" s="691" t="s">
        <v>2142</v>
      </c>
      <c r="C16" s="692" t="s">
        <v>32</v>
      </c>
      <c r="D16" s="693" t="s">
        <v>75</v>
      </c>
      <c r="E16" s="694">
        <v>1</v>
      </c>
      <c r="F16" s="694">
        <v>0</v>
      </c>
      <c r="G16" s="695">
        <v>0</v>
      </c>
      <c r="H16" s="696">
        <v>0</v>
      </c>
      <c r="I16" s="809">
        <v>0</v>
      </c>
      <c r="J16" s="695">
        <v>0</v>
      </c>
    </row>
    <row r="17" spans="1:10" customFormat="1" ht="38.25" x14ac:dyDescent="0.25">
      <c r="A17" s="687">
        <v>2</v>
      </c>
      <c r="B17" s="687" t="s">
        <v>2143</v>
      </c>
      <c r="C17" s="698"/>
      <c r="D17" s="688"/>
      <c r="E17" s="689"/>
      <c r="F17" s="689"/>
      <c r="G17" s="695"/>
      <c r="H17" s="824">
        <f>SUM(H18:H33)</f>
        <v>96013</v>
      </c>
      <c r="I17" s="825">
        <f>SUM(I18:I33)</f>
        <v>59026</v>
      </c>
      <c r="J17" s="806">
        <f t="shared" si="2"/>
        <v>61.477091643839898</v>
      </c>
    </row>
    <row r="18" spans="1:10" customFormat="1" ht="18.75" customHeight="1" x14ac:dyDescent="0.25">
      <c r="A18" s="690">
        <v>1.1000000000000001</v>
      </c>
      <c r="B18" s="691" t="s">
        <v>2144</v>
      </c>
      <c r="C18" s="692" t="s">
        <v>32</v>
      </c>
      <c r="D18" s="693" t="s">
        <v>2145</v>
      </c>
      <c r="E18" s="694">
        <v>33</v>
      </c>
      <c r="F18" s="694">
        <v>18</v>
      </c>
      <c r="G18" s="695">
        <f t="shared" si="1"/>
        <v>54.54545454545454</v>
      </c>
      <c r="H18" s="696">
        <v>6000</v>
      </c>
      <c r="I18" s="809">
        <v>6000</v>
      </c>
      <c r="J18" s="695">
        <f t="shared" si="2"/>
        <v>100</v>
      </c>
    </row>
    <row r="19" spans="1:10" customFormat="1" ht="25.5" x14ac:dyDescent="0.25">
      <c r="A19" s="690">
        <v>1.2</v>
      </c>
      <c r="B19" s="691" t="s">
        <v>2146</v>
      </c>
      <c r="C19" s="692" t="s">
        <v>32</v>
      </c>
      <c r="D19" s="699" t="s">
        <v>2147</v>
      </c>
      <c r="E19" s="694">
        <v>88</v>
      </c>
      <c r="F19" s="694">
        <v>45</v>
      </c>
      <c r="G19" s="695">
        <f t="shared" si="1"/>
        <v>51.136363636363633</v>
      </c>
      <c r="H19" s="696">
        <v>6001</v>
      </c>
      <c r="I19" s="833">
        <v>3000</v>
      </c>
      <c r="J19" s="695">
        <f t="shared" si="2"/>
        <v>49.991668055324112</v>
      </c>
    </row>
    <row r="20" spans="1:10" customFormat="1" ht="18.75" customHeight="1" x14ac:dyDescent="0.25">
      <c r="A20" s="690">
        <v>1.3</v>
      </c>
      <c r="B20" s="691" t="s">
        <v>2148</v>
      </c>
      <c r="C20" s="692" t="s">
        <v>32</v>
      </c>
      <c r="D20" s="693" t="s">
        <v>2145</v>
      </c>
      <c r="E20" s="694">
        <v>33</v>
      </c>
      <c r="F20" s="694">
        <v>11</v>
      </c>
      <c r="G20" s="695">
        <f t="shared" si="1"/>
        <v>33.333333333333329</v>
      </c>
      <c r="H20" s="696">
        <v>6001</v>
      </c>
      <c r="I20" s="809">
        <v>6000</v>
      </c>
      <c r="J20" s="695">
        <f t="shared" si="2"/>
        <v>99.983336110648224</v>
      </c>
    </row>
    <row r="21" spans="1:10" customFormat="1" ht="15" customHeight="1" x14ac:dyDescent="0.25">
      <c r="A21" s="690">
        <v>1.4</v>
      </c>
      <c r="B21" s="691" t="s">
        <v>2149</v>
      </c>
      <c r="C21" s="692" t="s">
        <v>32</v>
      </c>
      <c r="D21" s="693" t="s">
        <v>2150</v>
      </c>
      <c r="E21" s="694">
        <v>22</v>
      </c>
      <c r="F21" s="694">
        <v>1</v>
      </c>
      <c r="G21" s="695">
        <f t="shared" si="1"/>
        <v>4.5454545454545459</v>
      </c>
      <c r="H21" s="696">
        <v>6001</v>
      </c>
      <c r="I21" s="809">
        <v>2000</v>
      </c>
      <c r="J21" s="695">
        <f t="shared" si="2"/>
        <v>33.327778703549413</v>
      </c>
    </row>
    <row r="22" spans="1:10" customFormat="1" ht="18.75" customHeight="1" x14ac:dyDescent="0.25">
      <c r="A22" s="690">
        <v>1.5</v>
      </c>
      <c r="B22" s="691" t="s">
        <v>2151</v>
      </c>
      <c r="C22" s="692" t="s">
        <v>32</v>
      </c>
      <c r="D22" s="693" t="s">
        <v>138</v>
      </c>
      <c r="E22" s="694">
        <v>480</v>
      </c>
      <c r="F22" s="694">
        <v>152</v>
      </c>
      <c r="G22" s="695">
        <f t="shared" si="1"/>
        <v>31.666666666666664</v>
      </c>
      <c r="H22" s="696">
        <v>6001</v>
      </c>
      <c r="I22" s="809">
        <v>6000</v>
      </c>
      <c r="J22" s="695">
        <f t="shared" si="2"/>
        <v>99.983336110648224</v>
      </c>
    </row>
    <row r="23" spans="1:10" customFormat="1" ht="25.5" customHeight="1" x14ac:dyDescent="0.25">
      <c r="A23" s="690">
        <v>1.6</v>
      </c>
      <c r="B23" s="691" t="s">
        <v>2152</v>
      </c>
      <c r="C23" s="692" t="s">
        <v>32</v>
      </c>
      <c r="D23" s="693" t="s">
        <v>141</v>
      </c>
      <c r="E23" s="694">
        <v>4</v>
      </c>
      <c r="F23" s="694">
        <v>7</v>
      </c>
      <c r="G23" s="695">
        <f t="shared" si="1"/>
        <v>175</v>
      </c>
      <c r="H23" s="696">
        <v>6000</v>
      </c>
      <c r="I23" s="809">
        <v>5500</v>
      </c>
      <c r="J23" s="695">
        <f t="shared" si="2"/>
        <v>91.666666666666657</v>
      </c>
    </row>
    <row r="24" spans="1:10" customFormat="1" ht="18.75" customHeight="1" x14ac:dyDescent="0.25">
      <c r="A24" s="690">
        <v>1.7</v>
      </c>
      <c r="B24" s="691" t="s">
        <v>2153</v>
      </c>
      <c r="C24" s="692" t="s">
        <v>32</v>
      </c>
      <c r="D24" s="693" t="s">
        <v>2154</v>
      </c>
      <c r="E24" s="694">
        <v>1</v>
      </c>
      <c r="F24" s="694">
        <v>0</v>
      </c>
      <c r="G24" s="695">
        <f t="shared" si="1"/>
        <v>0</v>
      </c>
      <c r="H24" s="696">
        <v>6001</v>
      </c>
      <c r="I24" s="809">
        <v>0</v>
      </c>
      <c r="J24" s="695">
        <f t="shared" si="2"/>
        <v>0</v>
      </c>
    </row>
    <row r="25" spans="1:10" customFormat="1" ht="19.5" customHeight="1" x14ac:dyDescent="0.25">
      <c r="A25" s="690">
        <v>1.8</v>
      </c>
      <c r="B25" s="691" t="s">
        <v>2155</v>
      </c>
      <c r="C25" s="692" t="s">
        <v>32</v>
      </c>
      <c r="D25" s="693" t="s">
        <v>144</v>
      </c>
      <c r="E25" s="694">
        <v>22</v>
      </c>
      <c r="F25" s="694">
        <v>17</v>
      </c>
      <c r="G25" s="695">
        <f t="shared" si="1"/>
        <v>77.272727272727266</v>
      </c>
      <c r="H25" s="696">
        <v>6001</v>
      </c>
      <c r="I25" s="809">
        <v>6000</v>
      </c>
      <c r="J25" s="695">
        <f t="shared" si="2"/>
        <v>99.983336110648224</v>
      </c>
    </row>
    <row r="26" spans="1:10" customFormat="1" ht="18.75" customHeight="1" x14ac:dyDescent="0.25">
      <c r="A26" s="690">
        <v>1.9</v>
      </c>
      <c r="B26" s="691" t="s">
        <v>2156</v>
      </c>
      <c r="C26" s="692" t="s">
        <v>32</v>
      </c>
      <c r="D26" s="693" t="s">
        <v>2157</v>
      </c>
      <c r="E26" s="694">
        <v>11</v>
      </c>
      <c r="F26" s="694">
        <v>13</v>
      </c>
      <c r="G26" s="695">
        <f t="shared" si="1"/>
        <v>118.18181818181819</v>
      </c>
      <c r="H26" s="696">
        <v>6000</v>
      </c>
      <c r="I26" s="809">
        <v>3000</v>
      </c>
      <c r="J26" s="695">
        <f t="shared" si="2"/>
        <v>50</v>
      </c>
    </row>
    <row r="27" spans="1:10" customFormat="1" ht="21" customHeight="1" x14ac:dyDescent="0.25">
      <c r="A27" s="700">
        <v>1.1000000000000001</v>
      </c>
      <c r="B27" s="691" t="s">
        <v>2158</v>
      </c>
      <c r="C27" s="692" t="s">
        <v>32</v>
      </c>
      <c r="D27" s="693" t="s">
        <v>2159</v>
      </c>
      <c r="E27" s="701">
        <v>150</v>
      </c>
      <c r="F27" s="701">
        <v>0</v>
      </c>
      <c r="G27" s="695">
        <f t="shared" si="1"/>
        <v>0</v>
      </c>
      <c r="H27" s="696">
        <v>6001</v>
      </c>
      <c r="I27" s="809">
        <v>0</v>
      </c>
      <c r="J27" s="695">
        <f t="shared" si="2"/>
        <v>0</v>
      </c>
    </row>
    <row r="28" spans="1:10" customFormat="1" ht="16.5" customHeight="1" x14ac:dyDescent="0.25">
      <c r="A28" s="690">
        <v>1.1100000000000001</v>
      </c>
      <c r="B28" s="702" t="s">
        <v>2160</v>
      </c>
      <c r="C28" s="692" t="s">
        <v>32</v>
      </c>
      <c r="D28" s="703" t="s">
        <v>2161</v>
      </c>
      <c r="E28" s="704">
        <v>1</v>
      </c>
      <c r="F28" s="704">
        <v>1</v>
      </c>
      <c r="G28" s="695">
        <f t="shared" si="1"/>
        <v>100</v>
      </c>
      <c r="H28" s="696">
        <v>6001</v>
      </c>
      <c r="I28" s="813">
        <v>11526</v>
      </c>
      <c r="J28" s="695">
        <f t="shared" si="2"/>
        <v>192.06798866855524</v>
      </c>
    </row>
    <row r="29" spans="1:10" customFormat="1" ht="17.25" customHeight="1" x14ac:dyDescent="0.25">
      <c r="A29" s="700">
        <v>1.1200000000000001</v>
      </c>
      <c r="B29" s="691" t="s">
        <v>2162</v>
      </c>
      <c r="C29" s="692" t="s">
        <v>32</v>
      </c>
      <c r="D29" s="693" t="s">
        <v>2163</v>
      </c>
      <c r="E29" s="694">
        <v>1</v>
      </c>
      <c r="F29" s="694">
        <v>0</v>
      </c>
      <c r="G29" s="695">
        <f t="shared" si="1"/>
        <v>0</v>
      </c>
      <c r="H29" s="696">
        <v>6001</v>
      </c>
      <c r="I29" s="809">
        <v>0</v>
      </c>
      <c r="J29" s="695">
        <f t="shared" si="2"/>
        <v>0</v>
      </c>
    </row>
    <row r="30" spans="1:10" customFormat="1" ht="18" customHeight="1" x14ac:dyDescent="0.25">
      <c r="A30" s="690">
        <v>1.1299999999999999</v>
      </c>
      <c r="B30" s="691" t="s">
        <v>2164</v>
      </c>
      <c r="C30" s="692" t="s">
        <v>32</v>
      </c>
      <c r="D30" s="693" t="s">
        <v>2165</v>
      </c>
      <c r="E30" s="694">
        <v>120</v>
      </c>
      <c r="F30" s="694">
        <v>60</v>
      </c>
      <c r="G30" s="695">
        <f t="shared" si="1"/>
        <v>50</v>
      </c>
      <c r="H30" s="696">
        <v>6001</v>
      </c>
      <c r="I30" s="809">
        <v>4000</v>
      </c>
      <c r="J30" s="695">
        <f t="shared" si="2"/>
        <v>66.655557407098826</v>
      </c>
    </row>
    <row r="31" spans="1:10" customFormat="1" ht="27" customHeight="1" x14ac:dyDescent="0.25">
      <c r="A31" s="700">
        <v>1.1399999999999999</v>
      </c>
      <c r="B31" s="691" t="s">
        <v>2166</v>
      </c>
      <c r="C31" s="692" t="s">
        <v>32</v>
      </c>
      <c r="D31" s="693" t="s">
        <v>2167</v>
      </c>
      <c r="E31" s="706">
        <v>120</v>
      </c>
      <c r="F31" s="706">
        <v>75</v>
      </c>
      <c r="G31" s="695">
        <f t="shared" si="1"/>
        <v>62.5</v>
      </c>
      <c r="H31" s="696">
        <v>6001</v>
      </c>
      <c r="I31" s="809">
        <v>6000</v>
      </c>
      <c r="J31" s="695">
        <f t="shared" si="2"/>
        <v>99.983336110648224</v>
      </c>
    </row>
    <row r="32" spans="1:10" customFormat="1" ht="18.75" customHeight="1" x14ac:dyDescent="0.25">
      <c r="A32" s="690">
        <v>1.1499999999999999</v>
      </c>
      <c r="B32" s="691" t="s">
        <v>2168</v>
      </c>
      <c r="C32" s="692" t="s">
        <v>32</v>
      </c>
      <c r="D32" s="693" t="s">
        <v>2169</v>
      </c>
      <c r="E32" s="706">
        <v>12</v>
      </c>
      <c r="F32" s="706">
        <v>0</v>
      </c>
      <c r="G32" s="695">
        <f t="shared" si="1"/>
        <v>0</v>
      </c>
      <c r="H32" s="696">
        <v>6001</v>
      </c>
      <c r="I32" s="809">
        <v>0</v>
      </c>
      <c r="J32" s="695">
        <f t="shared" si="2"/>
        <v>0</v>
      </c>
    </row>
    <row r="33" spans="1:10" customFormat="1" ht="18.75" customHeight="1" x14ac:dyDescent="0.25">
      <c r="A33" s="700">
        <v>1.1599999999999999</v>
      </c>
      <c r="B33" s="691" t="s">
        <v>2170</v>
      </c>
      <c r="C33" s="692" t="s">
        <v>32</v>
      </c>
      <c r="D33" s="693" t="s">
        <v>2171</v>
      </c>
      <c r="E33" s="706">
        <v>1</v>
      </c>
      <c r="F33" s="706">
        <v>0</v>
      </c>
      <c r="G33" s="695">
        <f t="shared" si="1"/>
        <v>0</v>
      </c>
      <c r="H33" s="696">
        <v>6001</v>
      </c>
      <c r="I33" s="809">
        <v>0</v>
      </c>
      <c r="J33" s="695">
        <f t="shared" si="2"/>
        <v>0</v>
      </c>
    </row>
    <row r="34" spans="1:10" ht="17.25" customHeight="1" x14ac:dyDescent="0.2">
      <c r="A34" s="827">
        <v>3</v>
      </c>
      <c r="B34" s="827" t="s">
        <v>2172</v>
      </c>
      <c r="C34" s="820"/>
      <c r="D34" s="821"/>
      <c r="E34" s="832"/>
      <c r="F34" s="832"/>
      <c r="G34" s="823"/>
      <c r="H34" s="824">
        <f>SUM(H35:H41)</f>
        <v>42007</v>
      </c>
      <c r="I34" s="825">
        <f>SUM(I35:I41)</f>
        <v>20000</v>
      </c>
      <c r="J34" s="806">
        <f t="shared" si="2"/>
        <v>47.611112433642013</v>
      </c>
    </row>
    <row r="35" spans="1:10" ht="17.100000000000001" customHeight="1" x14ac:dyDescent="0.2">
      <c r="A35" s="690">
        <v>3.1</v>
      </c>
      <c r="B35" s="691" t="s">
        <v>2205</v>
      </c>
      <c r="C35" s="692" t="s">
        <v>32</v>
      </c>
      <c r="D35" s="707" t="s">
        <v>144</v>
      </c>
      <c r="E35" s="708">
        <v>480</v>
      </c>
      <c r="F35" s="708">
        <v>237</v>
      </c>
      <c r="G35" s="695">
        <f t="shared" si="1"/>
        <v>49.375</v>
      </c>
      <c r="H35" s="696">
        <v>6001</v>
      </c>
      <c r="I35" s="833">
        <v>6000</v>
      </c>
      <c r="J35" s="695">
        <f t="shared" si="2"/>
        <v>99.983336110648224</v>
      </c>
    </row>
    <row r="36" spans="1:10" ht="18.75" customHeight="1" x14ac:dyDescent="0.2">
      <c r="A36" s="690">
        <v>3.2</v>
      </c>
      <c r="B36" s="691" t="s">
        <v>2173</v>
      </c>
      <c r="C36" s="692" t="s">
        <v>32</v>
      </c>
      <c r="D36" s="697" t="s">
        <v>138</v>
      </c>
      <c r="E36" s="694">
        <v>480</v>
      </c>
      <c r="F36" s="694">
        <v>152</v>
      </c>
      <c r="G36" s="695">
        <f t="shared" si="1"/>
        <v>31.666666666666664</v>
      </c>
      <c r="H36" s="696">
        <v>6001</v>
      </c>
      <c r="I36" s="809">
        <v>6000</v>
      </c>
      <c r="J36" s="695">
        <f t="shared" si="2"/>
        <v>99.983336110648224</v>
      </c>
    </row>
    <row r="37" spans="1:10" ht="27" customHeight="1" x14ac:dyDescent="0.2">
      <c r="A37" s="690">
        <v>3.3</v>
      </c>
      <c r="B37" s="709" t="s">
        <v>2174</v>
      </c>
      <c r="C37" s="692" t="s">
        <v>32</v>
      </c>
      <c r="D37" s="697" t="s">
        <v>2175</v>
      </c>
      <c r="E37" s="694">
        <v>44</v>
      </c>
      <c r="F37" s="694">
        <v>28</v>
      </c>
      <c r="G37" s="695">
        <f t="shared" si="1"/>
        <v>63.636363636363633</v>
      </c>
      <c r="H37" s="696">
        <v>6001</v>
      </c>
      <c r="I37" s="809">
        <v>3000</v>
      </c>
      <c r="J37" s="695">
        <f t="shared" si="2"/>
        <v>49.991668055324112</v>
      </c>
    </row>
    <row r="38" spans="1:10" ht="26.25" customHeight="1" x14ac:dyDescent="0.2">
      <c r="A38" s="690">
        <v>3.4</v>
      </c>
      <c r="B38" s="691" t="s">
        <v>2176</v>
      </c>
      <c r="C38" s="692" t="s">
        <v>32</v>
      </c>
      <c r="D38" s="697" t="s">
        <v>2177</v>
      </c>
      <c r="E38" s="694">
        <v>480</v>
      </c>
      <c r="F38" s="694">
        <v>60</v>
      </c>
      <c r="G38" s="695">
        <f t="shared" si="1"/>
        <v>12.5</v>
      </c>
      <c r="H38" s="696">
        <v>6001</v>
      </c>
      <c r="I38" s="809">
        <v>3000</v>
      </c>
      <c r="J38" s="695">
        <f t="shared" si="2"/>
        <v>49.991668055324112</v>
      </c>
    </row>
    <row r="39" spans="1:10" ht="19.5" customHeight="1" x14ac:dyDescent="0.2">
      <c r="A39" s="690">
        <v>3.5</v>
      </c>
      <c r="B39" s="691" t="s">
        <v>2178</v>
      </c>
      <c r="C39" s="692" t="s">
        <v>32</v>
      </c>
      <c r="D39" s="693" t="s">
        <v>2179</v>
      </c>
      <c r="E39" s="708">
        <v>44</v>
      </c>
      <c r="F39" s="708">
        <v>0</v>
      </c>
      <c r="G39" s="695">
        <f t="shared" si="1"/>
        <v>0</v>
      </c>
      <c r="H39" s="696">
        <v>6001</v>
      </c>
      <c r="I39" s="809">
        <v>0</v>
      </c>
      <c r="J39" s="695">
        <f t="shared" si="2"/>
        <v>0</v>
      </c>
    </row>
    <row r="40" spans="1:10" ht="25.5" customHeight="1" x14ac:dyDescent="0.2">
      <c r="A40" s="690">
        <v>3.6</v>
      </c>
      <c r="B40" s="691" t="s">
        <v>2180</v>
      </c>
      <c r="C40" s="692" t="s">
        <v>32</v>
      </c>
      <c r="D40" s="697" t="s">
        <v>2177</v>
      </c>
      <c r="E40" s="694">
        <v>480</v>
      </c>
      <c r="F40" s="694">
        <v>237</v>
      </c>
      <c r="G40" s="695">
        <f t="shared" si="1"/>
        <v>49.375</v>
      </c>
      <c r="H40" s="696">
        <v>6001</v>
      </c>
      <c r="I40" s="809">
        <v>2000</v>
      </c>
      <c r="J40" s="695">
        <f t="shared" si="2"/>
        <v>33.327778703549413</v>
      </c>
    </row>
    <row r="41" spans="1:10" ht="16.5" customHeight="1" x14ac:dyDescent="0.2">
      <c r="A41" s="690">
        <v>3.7</v>
      </c>
      <c r="B41" s="691" t="s">
        <v>2181</v>
      </c>
      <c r="C41" s="692" t="s">
        <v>32</v>
      </c>
      <c r="D41" s="693" t="s">
        <v>2182</v>
      </c>
      <c r="E41" s="694">
        <v>4</v>
      </c>
      <c r="F41" s="694">
        <v>0</v>
      </c>
      <c r="G41" s="695">
        <f t="shared" si="1"/>
        <v>0</v>
      </c>
      <c r="H41" s="696">
        <v>6001</v>
      </c>
      <c r="I41" s="809">
        <v>0</v>
      </c>
      <c r="J41" s="695">
        <f t="shared" si="2"/>
        <v>0</v>
      </c>
    </row>
    <row r="42" spans="1:10" ht="25.5" x14ac:dyDescent="0.2">
      <c r="A42" s="819">
        <v>4</v>
      </c>
      <c r="B42" s="819" t="s">
        <v>2183</v>
      </c>
      <c r="C42" s="820"/>
      <c r="D42" s="820"/>
      <c r="E42" s="830"/>
      <c r="F42" s="830"/>
      <c r="G42" s="806"/>
      <c r="H42" s="831">
        <f>SUM(H43:H45)</f>
        <v>18003</v>
      </c>
      <c r="I42" s="806">
        <f>SUM(I43:I45)</f>
        <v>0</v>
      </c>
      <c r="J42" s="806">
        <f t="shared" si="2"/>
        <v>0</v>
      </c>
    </row>
    <row r="43" spans="1:10" ht="25.5" x14ac:dyDescent="0.2">
      <c r="A43" s="711">
        <v>4.0999999999999996</v>
      </c>
      <c r="B43" s="691" t="s">
        <v>2184</v>
      </c>
      <c r="C43" s="692" t="s">
        <v>32</v>
      </c>
      <c r="D43" s="693" t="s">
        <v>165</v>
      </c>
      <c r="E43" s="706">
        <v>1</v>
      </c>
      <c r="F43" s="706">
        <v>0</v>
      </c>
      <c r="G43" s="695">
        <f t="shared" si="1"/>
        <v>0</v>
      </c>
      <c r="H43" s="696">
        <v>6001</v>
      </c>
      <c r="I43" s="809">
        <v>0</v>
      </c>
      <c r="J43" s="695">
        <f t="shared" si="2"/>
        <v>0</v>
      </c>
    </row>
    <row r="44" spans="1:10" ht="25.5" x14ac:dyDescent="0.2">
      <c r="A44" s="690">
        <v>4.2</v>
      </c>
      <c r="B44" s="709" t="s">
        <v>2185</v>
      </c>
      <c r="C44" s="692" t="s">
        <v>32</v>
      </c>
      <c r="D44" s="697" t="s">
        <v>2186</v>
      </c>
      <c r="E44" s="706">
        <v>12</v>
      </c>
      <c r="F44" s="706">
        <v>0</v>
      </c>
      <c r="G44" s="695">
        <f t="shared" si="1"/>
        <v>0</v>
      </c>
      <c r="H44" s="696">
        <v>6001</v>
      </c>
      <c r="I44" s="809">
        <v>0</v>
      </c>
      <c r="J44" s="695">
        <f t="shared" si="2"/>
        <v>0</v>
      </c>
    </row>
    <row r="45" spans="1:10" ht="19.5" customHeight="1" x14ac:dyDescent="0.2">
      <c r="A45" s="690">
        <v>4.3</v>
      </c>
      <c r="B45" s="691" t="s">
        <v>2187</v>
      </c>
      <c r="C45" s="692" t="s">
        <v>32</v>
      </c>
      <c r="D45" s="693" t="s">
        <v>2167</v>
      </c>
      <c r="E45" s="712">
        <v>11</v>
      </c>
      <c r="F45" s="712">
        <v>0</v>
      </c>
      <c r="G45" s="695">
        <f t="shared" si="1"/>
        <v>0</v>
      </c>
      <c r="H45" s="696">
        <v>6001</v>
      </c>
      <c r="I45" s="809">
        <v>0</v>
      </c>
      <c r="J45" s="695">
        <f t="shared" si="2"/>
        <v>0</v>
      </c>
    </row>
    <row r="46" spans="1:10" ht="18.75" customHeight="1" x14ac:dyDescent="0.2">
      <c r="A46" s="826">
        <v>5</v>
      </c>
      <c r="B46" s="827" t="s">
        <v>2188</v>
      </c>
      <c r="C46" s="820"/>
      <c r="D46" s="828"/>
      <c r="E46" s="829"/>
      <c r="F46" s="829"/>
      <c r="G46" s="823"/>
      <c r="H46" s="824">
        <f>SUM(H47:H51)</f>
        <v>30005</v>
      </c>
      <c r="I46" s="825">
        <f>SUM(I47:I51)</f>
        <v>6000</v>
      </c>
      <c r="J46" s="806">
        <f t="shared" ref="J46" si="3">+I46/H46*100</f>
        <v>19.996667222129645</v>
      </c>
    </row>
    <row r="47" spans="1:10" ht="19.5" customHeight="1" x14ac:dyDescent="0.2">
      <c r="A47" s="690">
        <v>5.0999999999999996</v>
      </c>
      <c r="B47" s="691" t="s">
        <v>2189</v>
      </c>
      <c r="C47" s="692" t="s">
        <v>32</v>
      </c>
      <c r="D47" s="693" t="s">
        <v>110</v>
      </c>
      <c r="E47" s="706">
        <v>1</v>
      </c>
      <c r="F47" s="706">
        <v>0</v>
      </c>
      <c r="G47" s="695">
        <f t="shared" si="1"/>
        <v>0</v>
      </c>
      <c r="H47" s="696">
        <v>6001</v>
      </c>
      <c r="I47" s="696">
        <v>0</v>
      </c>
      <c r="J47" s="695">
        <f t="shared" si="2"/>
        <v>0</v>
      </c>
    </row>
    <row r="48" spans="1:10" ht="26.25" customHeight="1" x14ac:dyDescent="0.2">
      <c r="A48" s="690">
        <v>5.2</v>
      </c>
      <c r="B48" s="691" t="s">
        <v>2190</v>
      </c>
      <c r="C48" s="692" t="s">
        <v>32</v>
      </c>
      <c r="D48" s="693" t="s">
        <v>2191</v>
      </c>
      <c r="E48" s="706">
        <v>12</v>
      </c>
      <c r="F48" s="706">
        <v>0</v>
      </c>
      <c r="G48" s="695">
        <f t="shared" si="1"/>
        <v>0</v>
      </c>
      <c r="H48" s="696">
        <v>6001</v>
      </c>
      <c r="I48" s="696">
        <v>0</v>
      </c>
      <c r="J48" s="695">
        <f t="shared" si="2"/>
        <v>0</v>
      </c>
    </row>
    <row r="49" spans="1:10" ht="22.5" customHeight="1" x14ac:dyDescent="0.2">
      <c r="A49" s="690">
        <v>5.3</v>
      </c>
      <c r="B49" s="691" t="s">
        <v>2192</v>
      </c>
      <c r="C49" s="692" t="s">
        <v>32</v>
      </c>
      <c r="D49" s="693" t="s">
        <v>2193</v>
      </c>
      <c r="E49" s="706">
        <v>12</v>
      </c>
      <c r="F49" s="706">
        <v>7</v>
      </c>
      <c r="G49" s="695">
        <f t="shared" si="1"/>
        <v>58.333333333333336</v>
      </c>
      <c r="H49" s="696">
        <v>6001</v>
      </c>
      <c r="I49" s="696">
        <v>6000</v>
      </c>
      <c r="J49" s="695">
        <f t="shared" si="2"/>
        <v>99.983336110648224</v>
      </c>
    </row>
    <row r="50" spans="1:10" ht="26.25" customHeight="1" x14ac:dyDescent="0.2">
      <c r="A50" s="690">
        <v>5.4</v>
      </c>
      <c r="B50" s="691" t="s">
        <v>2194</v>
      </c>
      <c r="C50" s="692" t="s">
        <v>32</v>
      </c>
      <c r="D50" s="692" t="s">
        <v>2195</v>
      </c>
      <c r="E50" s="706">
        <v>2</v>
      </c>
      <c r="F50" s="706">
        <v>0</v>
      </c>
      <c r="G50" s="695">
        <f t="shared" si="1"/>
        <v>0</v>
      </c>
      <c r="H50" s="696">
        <v>6001</v>
      </c>
      <c r="I50" s="696">
        <v>0</v>
      </c>
      <c r="J50" s="695">
        <f t="shared" si="2"/>
        <v>0</v>
      </c>
    </row>
    <row r="51" spans="1:10" ht="32.25" customHeight="1" x14ac:dyDescent="0.2">
      <c r="A51" s="690">
        <v>5.5</v>
      </c>
      <c r="B51" s="691" t="s">
        <v>2196</v>
      </c>
      <c r="C51" s="692" t="s">
        <v>32</v>
      </c>
      <c r="D51" s="692" t="s">
        <v>2197</v>
      </c>
      <c r="E51" s="706">
        <v>12</v>
      </c>
      <c r="F51" s="706">
        <v>0</v>
      </c>
      <c r="G51" s="695">
        <f t="shared" si="1"/>
        <v>0</v>
      </c>
      <c r="H51" s="696">
        <v>6001</v>
      </c>
      <c r="I51" s="696">
        <v>0</v>
      </c>
      <c r="J51" s="695">
        <f t="shared" si="2"/>
        <v>0</v>
      </c>
    </row>
    <row r="52" spans="1:10" ht="25.5" customHeight="1" x14ac:dyDescent="0.2">
      <c r="A52" s="818">
        <v>6</v>
      </c>
      <c r="B52" s="819" t="s">
        <v>2198</v>
      </c>
      <c r="C52" s="820"/>
      <c r="D52" s="821"/>
      <c r="E52" s="822"/>
      <c r="F52" s="822"/>
      <c r="G52" s="823"/>
      <c r="H52" s="824">
        <f>SUM(H53:H57)</f>
        <v>30005</v>
      </c>
      <c r="I52" s="825">
        <f>SUM(I53:I57)</f>
        <v>17200</v>
      </c>
      <c r="J52" s="806">
        <f t="shared" si="2"/>
        <v>57.323779370104987</v>
      </c>
    </row>
    <row r="53" spans="1:10" ht="25.5" x14ac:dyDescent="0.2">
      <c r="A53" s="716">
        <v>6.1</v>
      </c>
      <c r="B53" s="691" t="s">
        <v>2199</v>
      </c>
      <c r="C53" s="692" t="s">
        <v>32</v>
      </c>
      <c r="D53" s="718" t="s">
        <v>2200</v>
      </c>
      <c r="E53" s="717">
        <v>4</v>
      </c>
      <c r="F53" s="717">
        <v>0</v>
      </c>
      <c r="G53" s="695">
        <f t="shared" si="1"/>
        <v>0</v>
      </c>
      <c r="H53" s="696">
        <v>6001</v>
      </c>
      <c r="I53" s="715">
        <v>0</v>
      </c>
      <c r="J53" s="695">
        <f t="shared" si="2"/>
        <v>0</v>
      </c>
    </row>
    <row r="54" spans="1:10" ht="25.5" x14ac:dyDescent="0.2">
      <c r="A54" s="716">
        <v>6.2</v>
      </c>
      <c r="B54" s="691" t="s">
        <v>2201</v>
      </c>
      <c r="C54" s="692" t="s">
        <v>32</v>
      </c>
      <c r="D54" s="714" t="s">
        <v>2191</v>
      </c>
      <c r="E54" s="717">
        <v>11</v>
      </c>
      <c r="F54" s="717">
        <v>1</v>
      </c>
      <c r="G54" s="695">
        <f t="shared" si="1"/>
        <v>9.0909090909090917</v>
      </c>
      <c r="H54" s="696">
        <v>6001</v>
      </c>
      <c r="I54" s="715">
        <v>3200</v>
      </c>
      <c r="J54" s="695">
        <f t="shared" si="2"/>
        <v>53.324445925679051</v>
      </c>
    </row>
    <row r="55" spans="1:10" ht="25.5" x14ac:dyDescent="0.2">
      <c r="A55" s="690">
        <v>6.3</v>
      </c>
      <c r="B55" s="709" t="s">
        <v>2202</v>
      </c>
      <c r="C55" s="692" t="s">
        <v>32</v>
      </c>
      <c r="D55" s="692" t="s">
        <v>2191</v>
      </c>
      <c r="E55" s="713">
        <v>20</v>
      </c>
      <c r="F55" s="713">
        <v>5</v>
      </c>
      <c r="G55" s="695">
        <f t="shared" si="1"/>
        <v>25</v>
      </c>
      <c r="H55" s="696">
        <v>6001</v>
      </c>
      <c r="I55" s="696">
        <v>12000</v>
      </c>
      <c r="J55" s="695">
        <f t="shared" si="2"/>
        <v>199.96667222129645</v>
      </c>
    </row>
    <row r="56" spans="1:10" ht="26.25" customHeight="1" x14ac:dyDescent="0.2">
      <c r="A56" s="690">
        <v>6.4</v>
      </c>
      <c r="B56" s="691" t="s">
        <v>2203</v>
      </c>
      <c r="C56" s="692" t="s">
        <v>32</v>
      </c>
      <c r="D56" s="693" t="s">
        <v>2204</v>
      </c>
      <c r="E56" s="706">
        <v>48</v>
      </c>
      <c r="F56" s="706">
        <v>0</v>
      </c>
      <c r="G56" s="695">
        <f t="shared" si="1"/>
        <v>0</v>
      </c>
      <c r="H56" s="696">
        <v>6001</v>
      </c>
      <c r="I56" s="696">
        <v>2000</v>
      </c>
      <c r="J56" s="695">
        <f t="shared" si="2"/>
        <v>33.327778703549413</v>
      </c>
    </row>
    <row r="57" spans="1:10" ht="25.5" customHeight="1" x14ac:dyDescent="0.2">
      <c r="A57" s="690">
        <v>6.5</v>
      </c>
      <c r="B57" s="691" t="s">
        <v>2206</v>
      </c>
      <c r="C57" s="697" t="s">
        <v>32</v>
      </c>
      <c r="D57" s="693" t="s">
        <v>463</v>
      </c>
      <c r="E57" s="706">
        <v>1</v>
      </c>
      <c r="F57" s="706">
        <v>0</v>
      </c>
      <c r="G57" s="695">
        <f t="shared" si="1"/>
        <v>0</v>
      </c>
      <c r="H57" s="696">
        <v>6001</v>
      </c>
      <c r="I57" s="696">
        <v>0</v>
      </c>
      <c r="J57" s="695">
        <f t="shared" si="2"/>
        <v>0</v>
      </c>
    </row>
    <row r="58" spans="1:10" ht="26.25" customHeight="1" x14ac:dyDescent="0.2">
      <c r="A58" s="2504" t="s">
        <v>379</v>
      </c>
      <c r="B58" s="2504"/>
      <c r="C58" s="740"/>
      <c r="D58" s="741"/>
      <c r="E58" s="742"/>
      <c r="F58" s="742"/>
      <c r="G58" s="742"/>
      <c r="H58" s="685">
        <f>+H59+H113</f>
        <v>1726576.2467532468</v>
      </c>
      <c r="I58" s="686">
        <f>+I59+I110+I113</f>
        <v>551089.75</v>
      </c>
      <c r="J58" s="686">
        <f>+I58/H58*100</f>
        <v>31.918066232887242</v>
      </c>
    </row>
    <row r="59" spans="1:10" ht="18" customHeight="1" x14ac:dyDescent="0.2">
      <c r="A59" s="743"/>
      <c r="B59" s="744" t="s">
        <v>2212</v>
      </c>
      <c r="C59" s="745"/>
      <c r="D59" s="746"/>
      <c r="E59" s="747"/>
      <c r="F59" s="747"/>
      <c r="G59" s="747"/>
      <c r="H59" s="748">
        <f>+H60+H63+H66+H69+H70+H75+H78+H80+H82+H83+H88+H90+H92+H95+H96+H99+H111+H112+H102+H110</f>
        <v>589395</v>
      </c>
      <c r="I59" s="805">
        <f>+I60+I63+I66+I69+I70+I75+I78+I80+I82+I83+I88+I90+I92+I95+I96+I99+I111+I112+I102</f>
        <v>114922.87</v>
      </c>
      <c r="J59" s="806">
        <f t="shared" ref="J59:J70" si="4">+I59/H59*100</f>
        <v>19.498446712306684</v>
      </c>
    </row>
    <row r="60" spans="1:10" ht="18" customHeight="1" x14ac:dyDescent="0.2">
      <c r="A60" s="743">
        <v>1</v>
      </c>
      <c r="B60" s="749" t="s">
        <v>2213</v>
      </c>
      <c r="C60" s="750"/>
      <c r="D60" s="751"/>
      <c r="E60" s="752"/>
      <c r="F60" s="752"/>
      <c r="G60" s="752"/>
      <c r="H60" s="807">
        <f>SUM(H61:H62)</f>
        <v>6600</v>
      </c>
      <c r="I60" s="808">
        <f>SUM(I61:I62)</f>
        <v>4708.87</v>
      </c>
      <c r="J60" s="804">
        <f t="shared" si="4"/>
        <v>71.346515151515149</v>
      </c>
    </row>
    <row r="61" spans="1:10" ht="18" customHeight="1" x14ac:dyDescent="0.2">
      <c r="A61" s="753" t="s">
        <v>491</v>
      </c>
      <c r="B61" s="702" t="s">
        <v>2214</v>
      </c>
      <c r="C61" s="750" t="s">
        <v>32</v>
      </c>
      <c r="D61" s="754" t="s">
        <v>2215</v>
      </c>
      <c r="E61" s="755">
        <v>1</v>
      </c>
      <c r="F61" s="755">
        <v>1</v>
      </c>
      <c r="G61" s="756">
        <f>+F61/E61*100</f>
        <v>100</v>
      </c>
      <c r="H61" s="696">
        <v>4820</v>
      </c>
      <c r="I61" s="809">
        <v>3084.87</v>
      </c>
      <c r="J61" s="695">
        <f t="shared" si="4"/>
        <v>64.001452282157672</v>
      </c>
    </row>
    <row r="62" spans="1:10" ht="18" customHeight="1" x14ac:dyDescent="0.2">
      <c r="A62" s="753" t="s">
        <v>492</v>
      </c>
      <c r="B62" s="757" t="s">
        <v>2216</v>
      </c>
      <c r="C62" s="750" t="s">
        <v>32</v>
      </c>
      <c r="D62" s="758" t="s">
        <v>89</v>
      </c>
      <c r="E62" s="759" t="s">
        <v>305</v>
      </c>
      <c r="F62" s="759" t="s">
        <v>305</v>
      </c>
      <c r="G62" s="756">
        <f>+F62/E62*100</f>
        <v>100</v>
      </c>
      <c r="H62" s="696">
        <v>1780</v>
      </c>
      <c r="I62" s="809">
        <v>1624</v>
      </c>
      <c r="J62" s="695">
        <f t="shared" si="4"/>
        <v>91.235955056179776</v>
      </c>
    </row>
    <row r="63" spans="1:10" ht="18" customHeight="1" x14ac:dyDescent="0.2">
      <c r="A63" s="760" t="s">
        <v>306</v>
      </c>
      <c r="B63" s="761" t="s">
        <v>2217</v>
      </c>
      <c r="C63" s="750"/>
      <c r="D63" s="758"/>
      <c r="E63" s="759"/>
      <c r="F63" s="759"/>
      <c r="G63" s="759"/>
      <c r="H63" s="807">
        <f>SUM(H64:H65)</f>
        <v>26200</v>
      </c>
      <c r="I63" s="808">
        <f>SUM(I64:I65)</f>
        <v>9435</v>
      </c>
      <c r="J63" s="804">
        <f t="shared" si="4"/>
        <v>36.011450381679388</v>
      </c>
    </row>
    <row r="64" spans="1:10" ht="18" customHeight="1" x14ac:dyDescent="0.2">
      <c r="A64" s="762" t="s">
        <v>441</v>
      </c>
      <c r="B64" s="757" t="s">
        <v>2218</v>
      </c>
      <c r="C64" s="750" t="s">
        <v>32</v>
      </c>
      <c r="D64" s="758" t="s">
        <v>112</v>
      </c>
      <c r="E64" s="759" t="s">
        <v>305</v>
      </c>
      <c r="F64" s="759" t="s">
        <v>305</v>
      </c>
      <c r="G64" s="756">
        <f t="shared" ref="G64:G112" si="5">+F64/E64*100</f>
        <v>100</v>
      </c>
      <c r="H64" s="696">
        <v>14000</v>
      </c>
      <c r="I64" s="809">
        <v>4000</v>
      </c>
      <c r="J64" s="695">
        <f t="shared" si="4"/>
        <v>28.571428571428569</v>
      </c>
    </row>
    <row r="65" spans="1:10" ht="18" customHeight="1" x14ac:dyDescent="0.2">
      <c r="A65" s="762" t="s">
        <v>442</v>
      </c>
      <c r="B65" s="757" t="s">
        <v>2216</v>
      </c>
      <c r="C65" s="750" t="s">
        <v>32</v>
      </c>
      <c r="D65" s="758" t="s">
        <v>112</v>
      </c>
      <c r="E65" s="759" t="s">
        <v>305</v>
      </c>
      <c r="F65" s="759" t="s">
        <v>305</v>
      </c>
      <c r="G65" s="756">
        <f t="shared" si="5"/>
        <v>100</v>
      </c>
      <c r="H65" s="696">
        <v>12200</v>
      </c>
      <c r="I65" s="809">
        <v>5435</v>
      </c>
      <c r="J65" s="695">
        <f t="shared" si="4"/>
        <v>44.549180327868854</v>
      </c>
    </row>
    <row r="66" spans="1:10" ht="18" customHeight="1" x14ac:dyDescent="0.2">
      <c r="A66" s="763">
        <v>3</v>
      </c>
      <c r="B66" s="764" t="s">
        <v>2219</v>
      </c>
      <c r="C66" s="750"/>
      <c r="D66" s="765"/>
      <c r="E66" s="766"/>
      <c r="F66" s="766"/>
      <c r="G66" s="766"/>
      <c r="H66" s="807">
        <f>SUM(H67:H68)</f>
        <v>24720</v>
      </c>
      <c r="I66" s="808">
        <f>SUM(I67:I68)</f>
        <v>4320</v>
      </c>
      <c r="J66" s="804">
        <f t="shared" si="4"/>
        <v>17.475728155339805</v>
      </c>
    </row>
    <row r="67" spans="1:10" ht="18" customHeight="1" x14ac:dyDescent="0.2">
      <c r="A67" s="762" t="s">
        <v>444</v>
      </c>
      <c r="B67" s="767" t="s">
        <v>2220</v>
      </c>
      <c r="C67" s="750" t="s">
        <v>32</v>
      </c>
      <c r="D67" s="765" t="s">
        <v>2221</v>
      </c>
      <c r="E67" s="766">
        <v>1</v>
      </c>
      <c r="F67" s="766">
        <v>1</v>
      </c>
      <c r="G67" s="756">
        <f t="shared" si="5"/>
        <v>100</v>
      </c>
      <c r="H67" s="696">
        <v>10400</v>
      </c>
      <c r="I67" s="809">
        <v>4320</v>
      </c>
      <c r="J67" s="695">
        <f t="shared" si="4"/>
        <v>41.53846153846154</v>
      </c>
    </row>
    <row r="68" spans="1:10" ht="25.5" x14ac:dyDescent="0.2">
      <c r="A68" s="762" t="s">
        <v>445</v>
      </c>
      <c r="B68" s="767" t="s">
        <v>2222</v>
      </c>
      <c r="C68" s="750" t="s">
        <v>32</v>
      </c>
      <c r="D68" s="765" t="s">
        <v>59</v>
      </c>
      <c r="E68" s="766">
        <v>2</v>
      </c>
      <c r="F68" s="766">
        <v>0</v>
      </c>
      <c r="G68" s="756">
        <f t="shared" si="5"/>
        <v>0</v>
      </c>
      <c r="H68" s="696">
        <v>14320</v>
      </c>
      <c r="I68" s="809">
        <v>0</v>
      </c>
      <c r="J68" s="809">
        <v>0</v>
      </c>
    </row>
    <row r="69" spans="1:10" ht="18" customHeight="1" x14ac:dyDescent="0.2">
      <c r="A69" s="763">
        <v>4</v>
      </c>
      <c r="B69" s="764" t="s">
        <v>2223</v>
      </c>
      <c r="C69" s="750" t="s">
        <v>32</v>
      </c>
      <c r="D69" s="765" t="s">
        <v>112</v>
      </c>
      <c r="E69" s="766">
        <v>1</v>
      </c>
      <c r="F69" s="766">
        <v>1</v>
      </c>
      <c r="G69" s="756">
        <f t="shared" si="5"/>
        <v>100</v>
      </c>
      <c r="H69" s="807">
        <v>15800</v>
      </c>
      <c r="I69" s="808">
        <v>2800</v>
      </c>
      <c r="J69" s="804">
        <f t="shared" si="4"/>
        <v>17.721518987341771</v>
      </c>
    </row>
    <row r="70" spans="1:10" ht="18" customHeight="1" x14ac:dyDescent="0.2">
      <c r="A70" s="768" t="s">
        <v>447</v>
      </c>
      <c r="B70" s="769" t="s">
        <v>2224</v>
      </c>
      <c r="C70" s="750"/>
      <c r="D70" s="770"/>
      <c r="E70" s="771"/>
      <c r="F70" s="771"/>
      <c r="G70" s="771"/>
      <c r="H70" s="807">
        <f>SUM(H71:H74)</f>
        <v>25518</v>
      </c>
      <c r="I70" s="808">
        <f>SUM(I71:I74)</f>
        <v>4704</v>
      </c>
      <c r="J70" s="804">
        <f t="shared" si="4"/>
        <v>18.434046555372678</v>
      </c>
    </row>
    <row r="71" spans="1:10" ht="18" customHeight="1" x14ac:dyDescent="0.2">
      <c r="A71" s="762" t="s">
        <v>1596</v>
      </c>
      <c r="B71" s="772" t="s">
        <v>2225</v>
      </c>
      <c r="C71" s="750" t="s">
        <v>32</v>
      </c>
      <c r="D71" s="773" t="s">
        <v>112</v>
      </c>
      <c r="E71" s="755">
        <v>1</v>
      </c>
      <c r="F71" s="755">
        <v>0</v>
      </c>
      <c r="G71" s="756">
        <f t="shared" si="5"/>
        <v>0</v>
      </c>
      <c r="H71" s="696">
        <v>7500</v>
      </c>
      <c r="I71" s="809">
        <v>0</v>
      </c>
      <c r="J71" s="809">
        <v>0</v>
      </c>
    </row>
    <row r="72" spans="1:10" ht="18" customHeight="1" x14ac:dyDescent="0.2">
      <c r="A72" s="762" t="s">
        <v>1598</v>
      </c>
      <c r="B72" s="772" t="s">
        <v>2226</v>
      </c>
      <c r="C72" s="750" t="s">
        <v>32</v>
      </c>
      <c r="D72" s="773" t="s">
        <v>112</v>
      </c>
      <c r="E72" s="755">
        <v>1</v>
      </c>
      <c r="F72" s="755">
        <v>0</v>
      </c>
      <c r="G72" s="756">
        <f t="shared" si="5"/>
        <v>0</v>
      </c>
      <c r="H72" s="696">
        <v>4938</v>
      </c>
      <c r="I72" s="809">
        <v>0</v>
      </c>
      <c r="J72" s="809">
        <v>0</v>
      </c>
    </row>
    <row r="73" spans="1:10" ht="27" customHeight="1" x14ac:dyDescent="0.2">
      <c r="A73" s="762" t="s">
        <v>1600</v>
      </c>
      <c r="B73" s="772" t="s">
        <v>2227</v>
      </c>
      <c r="C73" s="750" t="s">
        <v>32</v>
      </c>
      <c r="D73" s="773" t="s">
        <v>77</v>
      </c>
      <c r="E73" s="755">
        <v>1</v>
      </c>
      <c r="F73" s="755">
        <v>1</v>
      </c>
      <c r="G73" s="756">
        <f t="shared" si="5"/>
        <v>100</v>
      </c>
      <c r="H73" s="696">
        <v>10880</v>
      </c>
      <c r="I73" s="809">
        <v>4704</v>
      </c>
      <c r="J73" s="695">
        <f t="shared" ref="J73" si="6">+I73/H73*100</f>
        <v>43.235294117647058</v>
      </c>
    </row>
    <row r="74" spans="1:10" ht="18" customHeight="1" x14ac:dyDescent="0.2">
      <c r="A74" s="762" t="s">
        <v>1602</v>
      </c>
      <c r="B74" s="772" t="s">
        <v>2228</v>
      </c>
      <c r="C74" s="750" t="s">
        <v>32</v>
      </c>
      <c r="D74" s="773" t="s">
        <v>112</v>
      </c>
      <c r="E74" s="755">
        <v>1</v>
      </c>
      <c r="F74" s="755">
        <v>0</v>
      </c>
      <c r="G74" s="756">
        <f t="shared" si="5"/>
        <v>0</v>
      </c>
      <c r="H74" s="696">
        <v>2200</v>
      </c>
      <c r="I74" s="809">
        <v>0</v>
      </c>
      <c r="J74" s="809">
        <v>0</v>
      </c>
    </row>
    <row r="75" spans="1:10" ht="18" customHeight="1" x14ac:dyDescent="0.2">
      <c r="A75" s="763">
        <v>6</v>
      </c>
      <c r="B75" s="764" t="s">
        <v>2229</v>
      </c>
      <c r="C75" s="750"/>
      <c r="D75" s="765"/>
      <c r="E75" s="766"/>
      <c r="F75" s="766"/>
      <c r="G75" s="766"/>
      <c r="H75" s="807">
        <f>SUM(H76:H77)</f>
        <v>15320</v>
      </c>
      <c r="I75" s="808">
        <f>SUM(I76:I77)</f>
        <v>7256</v>
      </c>
      <c r="J75" s="804">
        <f t="shared" ref="J75" si="7">+I75/H75*100</f>
        <v>47.362924281984334</v>
      </c>
    </row>
    <row r="76" spans="1:10" ht="18" customHeight="1" x14ac:dyDescent="0.2">
      <c r="A76" s="762" t="s">
        <v>1643</v>
      </c>
      <c r="B76" s="767" t="s">
        <v>2230</v>
      </c>
      <c r="C76" s="750" t="s">
        <v>32</v>
      </c>
      <c r="D76" s="765" t="s">
        <v>340</v>
      </c>
      <c r="E76" s="766">
        <v>1</v>
      </c>
      <c r="F76" s="766">
        <v>1</v>
      </c>
      <c r="G76" s="756">
        <f t="shared" si="5"/>
        <v>100</v>
      </c>
      <c r="H76" s="696">
        <v>10320</v>
      </c>
      <c r="I76" s="809">
        <v>5656</v>
      </c>
      <c r="J76" s="695">
        <f t="shared" ref="J76:J77" si="8">+I76/H76*100</f>
        <v>54.806201550387598</v>
      </c>
    </row>
    <row r="77" spans="1:10" ht="18" customHeight="1" x14ac:dyDescent="0.2">
      <c r="A77" s="762" t="s">
        <v>1645</v>
      </c>
      <c r="B77" s="767" t="s">
        <v>2231</v>
      </c>
      <c r="C77" s="750" t="s">
        <v>32</v>
      </c>
      <c r="D77" s="765" t="s">
        <v>112</v>
      </c>
      <c r="E77" s="766">
        <v>1</v>
      </c>
      <c r="F77" s="766">
        <v>1</v>
      </c>
      <c r="G77" s="756">
        <f t="shared" si="5"/>
        <v>100</v>
      </c>
      <c r="H77" s="696">
        <v>5000</v>
      </c>
      <c r="I77" s="809">
        <v>1600</v>
      </c>
      <c r="J77" s="695">
        <f t="shared" si="8"/>
        <v>32</v>
      </c>
    </row>
    <row r="78" spans="1:10" ht="15" customHeight="1" x14ac:dyDescent="0.2">
      <c r="A78" s="768" t="s">
        <v>744</v>
      </c>
      <c r="B78" s="774" t="s">
        <v>2232</v>
      </c>
      <c r="C78" s="750"/>
      <c r="D78" s="758"/>
      <c r="E78" s="775"/>
      <c r="F78" s="775"/>
      <c r="G78" s="775"/>
      <c r="H78" s="807">
        <f>+H79</f>
        <v>9500</v>
      </c>
      <c r="I78" s="808">
        <f>+I79</f>
        <v>0</v>
      </c>
      <c r="J78" s="808">
        <v>0</v>
      </c>
    </row>
    <row r="79" spans="1:10" ht="18" customHeight="1" x14ac:dyDescent="0.2">
      <c r="A79" s="762" t="s">
        <v>1664</v>
      </c>
      <c r="B79" s="776" t="s">
        <v>2233</v>
      </c>
      <c r="C79" s="750" t="s">
        <v>32</v>
      </c>
      <c r="D79" s="754" t="s">
        <v>85</v>
      </c>
      <c r="E79" s="775">
        <v>1</v>
      </c>
      <c r="F79" s="775">
        <v>0</v>
      </c>
      <c r="G79" s="756">
        <f t="shared" si="5"/>
        <v>0</v>
      </c>
      <c r="H79" s="696">
        <v>9500</v>
      </c>
      <c r="I79" s="809">
        <v>0</v>
      </c>
      <c r="J79" s="809">
        <v>0</v>
      </c>
    </row>
    <row r="80" spans="1:10" ht="18" customHeight="1" x14ac:dyDescent="0.2">
      <c r="A80" s="763">
        <v>8</v>
      </c>
      <c r="B80" s="749" t="s">
        <v>2234</v>
      </c>
      <c r="C80" s="750"/>
      <c r="D80" s="777"/>
      <c r="E80" s="778"/>
      <c r="F80" s="778"/>
      <c r="G80" s="778"/>
      <c r="H80" s="807">
        <f>+H81</f>
        <v>7000</v>
      </c>
      <c r="I80" s="808">
        <f>+I81</f>
        <v>1600</v>
      </c>
      <c r="J80" s="804">
        <f t="shared" ref="J80:J104" si="9">+I80/H80*100</f>
        <v>22.857142857142858</v>
      </c>
    </row>
    <row r="81" spans="1:10" ht="18" customHeight="1" x14ac:dyDescent="0.2">
      <c r="A81" s="762" t="s">
        <v>1609</v>
      </c>
      <c r="B81" s="757" t="s">
        <v>2235</v>
      </c>
      <c r="C81" s="750" t="s">
        <v>32</v>
      </c>
      <c r="D81" s="765" t="s">
        <v>85</v>
      </c>
      <c r="E81" s="766">
        <v>1</v>
      </c>
      <c r="F81" s="766">
        <v>1</v>
      </c>
      <c r="G81" s="756">
        <f t="shared" si="5"/>
        <v>100</v>
      </c>
      <c r="H81" s="696">
        <v>7000</v>
      </c>
      <c r="I81" s="809">
        <v>1600</v>
      </c>
      <c r="J81" s="695">
        <f t="shared" si="9"/>
        <v>22.857142857142858</v>
      </c>
    </row>
    <row r="82" spans="1:10" ht="18.75" customHeight="1" x14ac:dyDescent="0.2">
      <c r="A82" s="768" t="s">
        <v>451</v>
      </c>
      <c r="B82" s="764" t="s">
        <v>2236</v>
      </c>
      <c r="C82" s="750" t="s">
        <v>32</v>
      </c>
      <c r="D82" s="765" t="s">
        <v>112</v>
      </c>
      <c r="E82" s="705">
        <v>1</v>
      </c>
      <c r="F82" s="705">
        <v>1</v>
      </c>
      <c r="G82" s="843">
        <f t="shared" si="5"/>
        <v>100</v>
      </c>
      <c r="H82" s="807">
        <v>2500</v>
      </c>
      <c r="I82" s="808">
        <v>400</v>
      </c>
      <c r="J82" s="804">
        <f t="shared" si="9"/>
        <v>16</v>
      </c>
    </row>
    <row r="83" spans="1:10" ht="17.25" customHeight="1" x14ac:dyDescent="0.2">
      <c r="A83" s="779">
        <v>10</v>
      </c>
      <c r="B83" s="780" t="s">
        <v>2237</v>
      </c>
      <c r="C83" s="750"/>
      <c r="D83" s="781"/>
      <c r="E83" s="782"/>
      <c r="F83" s="782"/>
      <c r="G83" s="782"/>
      <c r="H83" s="807">
        <f>SUM(H84:H87)</f>
        <v>26800</v>
      </c>
      <c r="I83" s="808">
        <f>SUM(I84:I87)</f>
        <v>15656</v>
      </c>
      <c r="J83" s="804">
        <f t="shared" si="9"/>
        <v>58.417910447761187</v>
      </c>
    </row>
    <row r="84" spans="1:10" ht="25.5" x14ac:dyDescent="0.2">
      <c r="A84" s="762" t="s">
        <v>1629</v>
      </c>
      <c r="B84" s="783" t="s">
        <v>2238</v>
      </c>
      <c r="C84" s="750" t="s">
        <v>32</v>
      </c>
      <c r="D84" s="773" t="s">
        <v>2280</v>
      </c>
      <c r="E84" s="755">
        <v>4</v>
      </c>
      <c r="F84" s="755">
        <v>4</v>
      </c>
      <c r="G84" s="756">
        <f t="shared" si="5"/>
        <v>100</v>
      </c>
      <c r="H84" s="696">
        <v>3000</v>
      </c>
      <c r="I84" s="809">
        <v>1920</v>
      </c>
      <c r="J84" s="695">
        <f t="shared" si="9"/>
        <v>64</v>
      </c>
    </row>
    <row r="85" spans="1:10" ht="26.25" customHeight="1" x14ac:dyDescent="0.2">
      <c r="A85" s="762" t="s">
        <v>2239</v>
      </c>
      <c r="B85" s="783" t="s">
        <v>2240</v>
      </c>
      <c r="C85" s="750" t="s">
        <v>32</v>
      </c>
      <c r="D85" s="773" t="s">
        <v>2281</v>
      </c>
      <c r="E85" s="755">
        <v>1</v>
      </c>
      <c r="F85" s="755">
        <v>1</v>
      </c>
      <c r="G85" s="756">
        <f t="shared" si="5"/>
        <v>100</v>
      </c>
      <c r="H85" s="696">
        <v>3000</v>
      </c>
      <c r="I85" s="809">
        <v>1536</v>
      </c>
      <c r="J85" s="695">
        <f t="shared" si="9"/>
        <v>51.2</v>
      </c>
    </row>
    <row r="86" spans="1:10" ht="25.5" x14ac:dyDescent="0.2">
      <c r="A86" s="762" t="s">
        <v>2241</v>
      </c>
      <c r="B86" s="783" t="s">
        <v>2242</v>
      </c>
      <c r="C86" s="750" t="s">
        <v>32</v>
      </c>
      <c r="D86" s="773" t="s">
        <v>77</v>
      </c>
      <c r="E86" s="755">
        <v>1</v>
      </c>
      <c r="F86" s="755">
        <v>1</v>
      </c>
      <c r="G86" s="756">
        <f t="shared" si="5"/>
        <v>100</v>
      </c>
      <c r="H86" s="696">
        <v>5000</v>
      </c>
      <c r="I86" s="809">
        <v>2560</v>
      </c>
      <c r="J86" s="695">
        <f t="shared" si="9"/>
        <v>51.2</v>
      </c>
    </row>
    <row r="87" spans="1:10" ht="18.75" customHeight="1" x14ac:dyDescent="0.2">
      <c r="A87" s="762" t="s">
        <v>2243</v>
      </c>
      <c r="B87" s="783" t="s">
        <v>2244</v>
      </c>
      <c r="C87" s="750" t="s">
        <v>32</v>
      </c>
      <c r="D87" s="773" t="s">
        <v>59</v>
      </c>
      <c r="E87" s="755">
        <v>2</v>
      </c>
      <c r="F87" s="755">
        <v>1</v>
      </c>
      <c r="G87" s="756">
        <f t="shared" si="5"/>
        <v>50</v>
      </c>
      <c r="H87" s="696">
        <v>15800</v>
      </c>
      <c r="I87" s="809">
        <v>9640</v>
      </c>
      <c r="J87" s="695">
        <f t="shared" si="9"/>
        <v>61.012658227848107</v>
      </c>
    </row>
    <row r="88" spans="1:10" ht="25.5" x14ac:dyDescent="0.2">
      <c r="A88" s="768" t="s">
        <v>2245</v>
      </c>
      <c r="B88" s="774" t="s">
        <v>2246</v>
      </c>
      <c r="C88" s="750"/>
      <c r="D88" s="784"/>
      <c r="E88" s="785"/>
      <c r="F88" s="785"/>
      <c r="G88" s="785"/>
      <c r="H88" s="807">
        <f>+H89</f>
        <v>25000</v>
      </c>
      <c r="I88" s="808">
        <f>+I89</f>
        <v>6000</v>
      </c>
      <c r="J88" s="804">
        <f t="shared" si="9"/>
        <v>24</v>
      </c>
    </row>
    <row r="89" spans="1:10" ht="25.5" x14ac:dyDescent="0.2">
      <c r="A89" s="762" t="s">
        <v>2247</v>
      </c>
      <c r="B89" s="783" t="s">
        <v>2248</v>
      </c>
      <c r="C89" s="750" t="s">
        <v>32</v>
      </c>
      <c r="D89" s="773" t="s">
        <v>77</v>
      </c>
      <c r="E89" s="755">
        <v>2</v>
      </c>
      <c r="F89" s="755">
        <v>2</v>
      </c>
      <c r="G89" s="756">
        <f t="shared" si="5"/>
        <v>100</v>
      </c>
      <c r="H89" s="696">
        <v>25000</v>
      </c>
      <c r="I89" s="809">
        <v>6000</v>
      </c>
      <c r="J89" s="695">
        <f t="shared" si="9"/>
        <v>24</v>
      </c>
    </row>
    <row r="90" spans="1:10" ht="17.25" customHeight="1" x14ac:dyDescent="0.2">
      <c r="A90" s="768" t="s">
        <v>745</v>
      </c>
      <c r="B90" s="749" t="s">
        <v>2249</v>
      </c>
      <c r="C90" s="750"/>
      <c r="D90" s="777"/>
      <c r="E90" s="778"/>
      <c r="F90" s="778"/>
      <c r="G90" s="778"/>
      <c r="H90" s="807">
        <f>+H91</f>
        <v>10500</v>
      </c>
      <c r="I90" s="808">
        <f>+I91</f>
        <v>4500</v>
      </c>
      <c r="J90" s="804">
        <f t="shared" si="9"/>
        <v>42.857142857142854</v>
      </c>
    </row>
    <row r="91" spans="1:10" ht="17.25" customHeight="1" x14ac:dyDescent="0.2">
      <c r="A91" s="762" t="s">
        <v>2250</v>
      </c>
      <c r="B91" s="757" t="s">
        <v>2251</v>
      </c>
      <c r="C91" s="750" t="s">
        <v>32</v>
      </c>
      <c r="D91" s="773" t="s">
        <v>85</v>
      </c>
      <c r="E91" s="766">
        <v>1</v>
      </c>
      <c r="F91" s="766">
        <v>1</v>
      </c>
      <c r="G91" s="756">
        <f t="shared" si="5"/>
        <v>100</v>
      </c>
      <c r="H91" s="696">
        <v>10500</v>
      </c>
      <c r="I91" s="809">
        <v>4500</v>
      </c>
      <c r="J91" s="695">
        <f t="shared" si="9"/>
        <v>42.857142857142854</v>
      </c>
    </row>
    <row r="92" spans="1:10" ht="17.25" customHeight="1" x14ac:dyDescent="0.2">
      <c r="A92" s="768" t="s">
        <v>452</v>
      </c>
      <c r="B92" s="761" t="s">
        <v>2252</v>
      </c>
      <c r="C92" s="750"/>
      <c r="D92" s="773"/>
      <c r="E92" s="759"/>
      <c r="F92" s="759"/>
      <c r="G92" s="759"/>
      <c r="H92" s="807">
        <f>SUM(H93:H94)</f>
        <v>36820</v>
      </c>
      <c r="I92" s="808">
        <f>SUM(I93:I94)</f>
        <v>2728</v>
      </c>
      <c r="J92" s="804">
        <f t="shared" si="9"/>
        <v>7.4090168386746331</v>
      </c>
    </row>
    <row r="93" spans="1:10" ht="18" customHeight="1" x14ac:dyDescent="0.2">
      <c r="A93" s="762" t="s">
        <v>1639</v>
      </c>
      <c r="B93" s="757" t="s">
        <v>2253</v>
      </c>
      <c r="C93" s="750" t="s">
        <v>32</v>
      </c>
      <c r="D93" s="773" t="s">
        <v>112</v>
      </c>
      <c r="E93" s="759" t="s">
        <v>305</v>
      </c>
      <c r="F93" s="759" t="s">
        <v>305</v>
      </c>
      <c r="G93" s="756">
        <f t="shared" si="5"/>
        <v>100</v>
      </c>
      <c r="H93" s="696">
        <v>18410</v>
      </c>
      <c r="I93" s="809">
        <v>2728</v>
      </c>
      <c r="J93" s="695">
        <f t="shared" si="9"/>
        <v>14.818033677349266</v>
      </c>
    </row>
    <row r="94" spans="1:10" ht="18" customHeight="1" x14ac:dyDescent="0.2">
      <c r="A94" s="762" t="s">
        <v>2254</v>
      </c>
      <c r="B94" s="757" t="s">
        <v>2255</v>
      </c>
      <c r="C94" s="750" t="s">
        <v>32</v>
      </c>
      <c r="D94" s="773" t="s">
        <v>112</v>
      </c>
      <c r="E94" s="759" t="s">
        <v>305</v>
      </c>
      <c r="F94" s="759" t="s">
        <v>1901</v>
      </c>
      <c r="G94" s="756">
        <f t="shared" si="5"/>
        <v>0</v>
      </c>
      <c r="H94" s="696">
        <v>18410</v>
      </c>
      <c r="I94" s="809">
        <v>0</v>
      </c>
      <c r="J94" s="809">
        <f t="shared" si="9"/>
        <v>0</v>
      </c>
    </row>
    <row r="95" spans="1:10" ht="17.25" customHeight="1" x14ac:dyDescent="0.2">
      <c r="A95" s="768" t="s">
        <v>563</v>
      </c>
      <c r="B95" s="786" t="s">
        <v>2256</v>
      </c>
      <c r="C95" s="750" t="s">
        <v>32</v>
      </c>
      <c r="D95" s="773" t="s">
        <v>85</v>
      </c>
      <c r="E95" s="755">
        <v>1</v>
      </c>
      <c r="F95" s="755">
        <v>0</v>
      </c>
      <c r="G95" s="756">
        <f t="shared" si="5"/>
        <v>0</v>
      </c>
      <c r="H95" s="807">
        <v>10500</v>
      </c>
      <c r="I95" s="808">
        <v>0</v>
      </c>
      <c r="J95" s="808">
        <v>0</v>
      </c>
    </row>
    <row r="96" spans="1:10" ht="17.25" customHeight="1" x14ac:dyDescent="0.2">
      <c r="A96" s="768" t="s">
        <v>2257</v>
      </c>
      <c r="B96" s="786" t="s">
        <v>2258</v>
      </c>
      <c r="C96" s="750"/>
      <c r="D96" s="773"/>
      <c r="E96" s="755"/>
      <c r="F96" s="755"/>
      <c r="G96" s="755"/>
      <c r="H96" s="807">
        <f>SUM(H97:H98)</f>
        <v>10700</v>
      </c>
      <c r="I96" s="808">
        <f>SUM(I97:I98)</f>
        <v>6920</v>
      </c>
      <c r="J96" s="804">
        <f t="shared" si="9"/>
        <v>64.672897196261687</v>
      </c>
    </row>
    <row r="97" spans="1:10" ht="18" customHeight="1" x14ac:dyDescent="0.2">
      <c r="A97" s="762" t="s">
        <v>2259</v>
      </c>
      <c r="B97" s="787" t="s">
        <v>2214</v>
      </c>
      <c r="C97" s="750" t="s">
        <v>32</v>
      </c>
      <c r="D97" s="773" t="s">
        <v>112</v>
      </c>
      <c r="E97" s="755">
        <v>1</v>
      </c>
      <c r="F97" s="755">
        <v>0</v>
      </c>
      <c r="G97" s="756">
        <f t="shared" si="5"/>
        <v>0</v>
      </c>
      <c r="H97" s="696">
        <v>8400</v>
      </c>
      <c r="I97" s="809">
        <v>5720</v>
      </c>
      <c r="J97" s="695">
        <f t="shared" si="9"/>
        <v>68.095238095238102</v>
      </c>
    </row>
    <row r="98" spans="1:10" ht="18" customHeight="1" x14ac:dyDescent="0.2">
      <c r="A98" s="762" t="s">
        <v>2260</v>
      </c>
      <c r="B98" s="787" t="s">
        <v>2216</v>
      </c>
      <c r="C98" s="750" t="s">
        <v>32</v>
      </c>
      <c r="D98" s="773" t="s">
        <v>112</v>
      </c>
      <c r="E98" s="755">
        <v>1</v>
      </c>
      <c r="F98" s="755">
        <v>0</v>
      </c>
      <c r="G98" s="756">
        <f t="shared" si="5"/>
        <v>0</v>
      </c>
      <c r="H98" s="696">
        <v>2300</v>
      </c>
      <c r="I98" s="809">
        <v>1200</v>
      </c>
      <c r="J98" s="695">
        <f t="shared" si="9"/>
        <v>52.173913043478258</v>
      </c>
    </row>
    <row r="99" spans="1:10" ht="25.5" x14ac:dyDescent="0.2">
      <c r="A99" s="763">
        <v>16</v>
      </c>
      <c r="B99" s="774" t="s">
        <v>2261</v>
      </c>
      <c r="C99" s="750"/>
      <c r="D99" s="758"/>
      <c r="E99" s="788"/>
      <c r="F99" s="788"/>
      <c r="G99" s="788"/>
      <c r="H99" s="807">
        <f>SUM(H100:H101)</f>
        <v>21600</v>
      </c>
      <c r="I99" s="808">
        <f>SUM(I100:I101)</f>
        <v>0</v>
      </c>
      <c r="J99" s="804">
        <f t="shared" si="9"/>
        <v>0</v>
      </c>
    </row>
    <row r="100" spans="1:10" ht="18" customHeight="1" x14ac:dyDescent="0.2">
      <c r="A100" s="762" t="s">
        <v>2262</v>
      </c>
      <c r="B100" s="767" t="s">
        <v>2214</v>
      </c>
      <c r="C100" s="750" t="s">
        <v>32</v>
      </c>
      <c r="D100" s="773" t="s">
        <v>2215</v>
      </c>
      <c r="E100" s="755">
        <v>1</v>
      </c>
      <c r="F100" s="755">
        <v>0</v>
      </c>
      <c r="G100" s="756">
        <f t="shared" si="5"/>
        <v>0</v>
      </c>
      <c r="H100" s="696">
        <v>10800</v>
      </c>
      <c r="I100" s="809"/>
      <c r="J100" s="695">
        <f t="shared" si="9"/>
        <v>0</v>
      </c>
    </row>
    <row r="101" spans="1:10" ht="18" customHeight="1" x14ac:dyDescent="0.2">
      <c r="A101" s="762" t="s">
        <v>2263</v>
      </c>
      <c r="B101" s="757" t="s">
        <v>2216</v>
      </c>
      <c r="C101" s="750" t="s">
        <v>32</v>
      </c>
      <c r="D101" s="773" t="s">
        <v>89</v>
      </c>
      <c r="E101" s="759" t="s">
        <v>305</v>
      </c>
      <c r="F101" s="759" t="s">
        <v>1901</v>
      </c>
      <c r="G101" s="756">
        <f t="shared" si="5"/>
        <v>0</v>
      </c>
      <c r="H101" s="696">
        <v>10800</v>
      </c>
      <c r="I101" s="809"/>
      <c r="J101" s="695">
        <f t="shared" si="9"/>
        <v>0</v>
      </c>
    </row>
    <row r="102" spans="1:10" ht="18.75" customHeight="1" x14ac:dyDescent="0.2">
      <c r="A102" s="763">
        <v>17</v>
      </c>
      <c r="B102" s="789" t="s">
        <v>2264</v>
      </c>
      <c r="C102" s="790" t="s">
        <v>32</v>
      </c>
      <c r="D102" s="791"/>
      <c r="E102" s="792"/>
      <c r="F102" s="696"/>
      <c r="G102" s="756"/>
      <c r="H102" s="807">
        <f>+H103</f>
        <v>10658</v>
      </c>
      <c r="I102" s="808">
        <f>+I103</f>
        <v>3600</v>
      </c>
      <c r="J102" s="804">
        <f t="shared" si="9"/>
        <v>33.777444173390883</v>
      </c>
    </row>
    <row r="103" spans="1:10" ht="25.5" x14ac:dyDescent="0.2">
      <c r="A103" s="793">
        <v>11.1</v>
      </c>
      <c r="B103" s="724" t="s">
        <v>2265</v>
      </c>
      <c r="C103" s="790" t="s">
        <v>32</v>
      </c>
      <c r="D103" s="794" t="s">
        <v>75</v>
      </c>
      <c r="E103" s="575">
        <v>36</v>
      </c>
      <c r="F103" s="795">
        <v>16</v>
      </c>
      <c r="G103" s="756">
        <f t="shared" si="5"/>
        <v>44.444444444444443</v>
      </c>
      <c r="H103" s="696">
        <f>15500-4842</f>
        <v>10658</v>
      </c>
      <c r="I103" s="809">
        <v>3600</v>
      </c>
      <c r="J103" s="695">
        <f t="shared" si="9"/>
        <v>33.777444173390883</v>
      </c>
    </row>
    <row r="104" spans="1:10" ht="18" customHeight="1" x14ac:dyDescent="0.2">
      <c r="A104" s="793">
        <v>11.2</v>
      </c>
      <c r="B104" s="724" t="s">
        <v>2266</v>
      </c>
      <c r="C104" s="790" t="s">
        <v>32</v>
      </c>
      <c r="D104" s="794" t="s">
        <v>2267</v>
      </c>
      <c r="E104" s="796">
        <v>12</v>
      </c>
      <c r="F104" s="795">
        <v>2</v>
      </c>
      <c r="G104" s="756">
        <f t="shared" si="5"/>
        <v>16.666666666666664</v>
      </c>
      <c r="H104" s="696">
        <v>2000</v>
      </c>
      <c r="I104" s="809">
        <v>800</v>
      </c>
      <c r="J104" s="695">
        <f t="shared" si="9"/>
        <v>40</v>
      </c>
    </row>
    <row r="105" spans="1:10" ht="18" customHeight="1" x14ac:dyDescent="0.2">
      <c r="A105" s="763">
        <v>18</v>
      </c>
      <c r="B105" s="786" t="s">
        <v>2268</v>
      </c>
      <c r="C105" s="750"/>
      <c r="D105" s="797"/>
      <c r="E105" s="798"/>
      <c r="F105" s="798"/>
      <c r="G105" s="798"/>
      <c r="H105" s="807">
        <f>+H106</f>
        <v>0</v>
      </c>
      <c r="I105" s="808">
        <f>+I106</f>
        <v>0</v>
      </c>
      <c r="J105" s="808">
        <v>0</v>
      </c>
    </row>
    <row r="106" spans="1:10" ht="18" customHeight="1" x14ac:dyDescent="0.2">
      <c r="A106" s="762" t="s">
        <v>2250</v>
      </c>
      <c r="B106" s="787" t="s">
        <v>2277</v>
      </c>
      <c r="C106" s="750" t="s">
        <v>32</v>
      </c>
      <c r="D106" s="799" t="s">
        <v>2269</v>
      </c>
      <c r="E106" s="800" t="s">
        <v>305</v>
      </c>
      <c r="F106" s="800" t="s">
        <v>1901</v>
      </c>
      <c r="G106" s="756">
        <f t="shared" si="5"/>
        <v>0</v>
      </c>
      <c r="H106" s="696">
        <v>0</v>
      </c>
      <c r="I106" s="809">
        <v>0</v>
      </c>
      <c r="J106" s="809">
        <v>0</v>
      </c>
    </row>
    <row r="107" spans="1:10" ht="18" customHeight="1" x14ac:dyDescent="0.2">
      <c r="A107" s="762" t="s">
        <v>2274</v>
      </c>
      <c r="B107" s="787" t="s">
        <v>2270</v>
      </c>
      <c r="C107" s="750" t="s">
        <v>32</v>
      </c>
      <c r="D107" s="801" t="s">
        <v>75</v>
      </c>
      <c r="E107" s="802">
        <v>1</v>
      </c>
      <c r="F107" s="802">
        <v>0</v>
      </c>
      <c r="G107" s="756">
        <f t="shared" si="5"/>
        <v>0</v>
      </c>
      <c r="H107" s="696">
        <v>0</v>
      </c>
      <c r="I107" s="809">
        <v>0</v>
      </c>
      <c r="J107" s="809">
        <v>0</v>
      </c>
    </row>
    <row r="108" spans="1:10" ht="18" customHeight="1" x14ac:dyDescent="0.2">
      <c r="A108" s="762" t="s">
        <v>2275</v>
      </c>
      <c r="B108" s="787" t="s">
        <v>2278</v>
      </c>
      <c r="C108" s="750" t="s">
        <v>32</v>
      </c>
      <c r="D108" s="801" t="s">
        <v>2271</v>
      </c>
      <c r="E108" s="802">
        <v>1</v>
      </c>
      <c r="F108" s="802">
        <v>0</v>
      </c>
      <c r="G108" s="756">
        <f t="shared" si="5"/>
        <v>0</v>
      </c>
      <c r="H108" s="696">
        <v>0</v>
      </c>
      <c r="I108" s="809">
        <v>0</v>
      </c>
      <c r="J108" s="809">
        <v>0</v>
      </c>
    </row>
    <row r="109" spans="1:10" ht="18" customHeight="1" x14ac:dyDescent="0.2">
      <c r="A109" s="762" t="s">
        <v>2276</v>
      </c>
      <c r="B109" s="787" t="s">
        <v>2272</v>
      </c>
      <c r="C109" s="750" t="s">
        <v>32</v>
      </c>
      <c r="D109" s="801" t="s">
        <v>271</v>
      </c>
      <c r="E109" s="802">
        <v>1</v>
      </c>
      <c r="F109" s="802">
        <v>0</v>
      </c>
      <c r="G109" s="756">
        <f t="shared" si="5"/>
        <v>0</v>
      </c>
      <c r="H109" s="696">
        <v>0</v>
      </c>
      <c r="I109" s="809">
        <v>0</v>
      </c>
      <c r="J109" s="809">
        <v>0</v>
      </c>
    </row>
    <row r="110" spans="1:10" ht="18" customHeight="1" x14ac:dyDescent="0.2">
      <c r="A110" s="763">
        <v>19</v>
      </c>
      <c r="B110" s="786" t="s">
        <v>2279</v>
      </c>
      <c r="C110" s="750" t="s">
        <v>32</v>
      </c>
      <c r="D110" s="803" t="s">
        <v>167</v>
      </c>
      <c r="E110" s="759" t="s">
        <v>305</v>
      </c>
      <c r="F110" s="759" t="s">
        <v>1901</v>
      </c>
      <c r="G110" s="756">
        <f t="shared" si="5"/>
        <v>0</v>
      </c>
      <c r="H110" s="807">
        <v>202920</v>
      </c>
      <c r="I110" s="808">
        <v>0</v>
      </c>
      <c r="J110" s="804">
        <f t="shared" ref="J110:J112" si="10">+I110/H110*100</f>
        <v>0</v>
      </c>
    </row>
    <row r="111" spans="1:10" ht="18" customHeight="1" x14ac:dyDescent="0.2">
      <c r="A111" s="763">
        <v>20</v>
      </c>
      <c r="B111" s="780" t="s">
        <v>430</v>
      </c>
      <c r="C111" s="750" t="s">
        <v>32</v>
      </c>
      <c r="D111" s="758" t="s">
        <v>485</v>
      </c>
      <c r="E111" s="775">
        <v>5</v>
      </c>
      <c r="F111" s="775">
        <v>4</v>
      </c>
      <c r="G111" s="756">
        <f t="shared" si="5"/>
        <v>80</v>
      </c>
      <c r="H111" s="807">
        <v>96996</v>
      </c>
      <c r="I111" s="808">
        <v>38798</v>
      </c>
      <c r="J111" s="804">
        <f t="shared" si="10"/>
        <v>39.999587611860285</v>
      </c>
    </row>
    <row r="112" spans="1:10" ht="18" customHeight="1" x14ac:dyDescent="0.2">
      <c r="A112" s="763">
        <v>21</v>
      </c>
      <c r="B112" s="780" t="s">
        <v>2273</v>
      </c>
      <c r="C112" s="750" t="s">
        <v>32</v>
      </c>
      <c r="D112" s="758" t="s">
        <v>485</v>
      </c>
      <c r="E112" s="775">
        <v>5</v>
      </c>
      <c r="F112" s="775">
        <v>4</v>
      </c>
      <c r="G112" s="756">
        <f t="shared" si="5"/>
        <v>80</v>
      </c>
      <c r="H112" s="807">
        <v>3743</v>
      </c>
      <c r="I112" s="808">
        <v>1497</v>
      </c>
      <c r="J112" s="804">
        <f t="shared" si="10"/>
        <v>39.994656692492654</v>
      </c>
    </row>
    <row r="113" spans="1:10" ht="18" customHeight="1" x14ac:dyDescent="0.2">
      <c r="A113" s="810"/>
      <c r="B113" s="836" t="s">
        <v>2301</v>
      </c>
      <c r="C113" s="837"/>
      <c r="D113" s="837"/>
      <c r="E113" s="838"/>
      <c r="F113" s="838"/>
      <c r="G113" s="839"/>
      <c r="H113" s="840">
        <f>SUM(H114:H128)</f>
        <v>1137181.2467532468</v>
      </c>
      <c r="I113" s="841">
        <f>SUM(I114:I128)</f>
        <v>436166.87999999995</v>
      </c>
      <c r="J113" s="842">
        <f>+I113/H113*100</f>
        <v>38.355089063005131</v>
      </c>
    </row>
    <row r="114" spans="1:10" ht="19.5" customHeight="1" x14ac:dyDescent="0.2">
      <c r="A114" s="811">
        <v>1</v>
      </c>
      <c r="B114" s="812" t="s">
        <v>2282</v>
      </c>
      <c r="C114" s="817" t="s">
        <v>37</v>
      </c>
      <c r="D114" s="817" t="s">
        <v>449</v>
      </c>
      <c r="E114" s="766">
        <v>1</v>
      </c>
      <c r="F114" s="766">
        <v>1</v>
      </c>
      <c r="G114" s="813">
        <f>+F114/E114*100</f>
        <v>100</v>
      </c>
      <c r="H114" s="814">
        <v>10046</v>
      </c>
      <c r="I114" s="815">
        <v>7046.85</v>
      </c>
      <c r="J114" s="813">
        <f>+I114/H114*100</f>
        <v>70.145829185745583</v>
      </c>
    </row>
    <row r="115" spans="1:10" ht="25.5" x14ac:dyDescent="0.2">
      <c r="A115" s="902">
        <v>2</v>
      </c>
      <c r="B115" s="812" t="s">
        <v>2283</v>
      </c>
      <c r="C115" s="817" t="s">
        <v>37</v>
      </c>
      <c r="D115" s="817" t="s">
        <v>41</v>
      </c>
      <c r="E115" s="795">
        <v>4</v>
      </c>
      <c r="F115" s="775">
        <v>2</v>
      </c>
      <c r="G115" s="813">
        <f t="shared" ref="G115:G128" si="11">+F115/E115*100</f>
        <v>50</v>
      </c>
      <c r="H115" s="814">
        <v>15153.9935064935</v>
      </c>
      <c r="I115" s="815">
        <v>6576.5</v>
      </c>
      <c r="J115" s="813">
        <f t="shared" ref="J115:J126" si="12">+I115/H115*100</f>
        <v>43.397801359634762</v>
      </c>
    </row>
    <row r="116" spans="1:10" ht="27.75" customHeight="1" x14ac:dyDescent="0.2">
      <c r="A116" s="811">
        <v>3</v>
      </c>
      <c r="B116" s="812" t="s">
        <v>2284</v>
      </c>
      <c r="C116" s="817" t="s">
        <v>37</v>
      </c>
      <c r="D116" s="817" t="s">
        <v>2285</v>
      </c>
      <c r="E116" s="795">
        <v>2</v>
      </c>
      <c r="F116" s="775">
        <v>1</v>
      </c>
      <c r="G116" s="813">
        <f t="shared" si="11"/>
        <v>50</v>
      </c>
      <c r="H116" s="814">
        <v>50171</v>
      </c>
      <c r="I116" s="815">
        <v>15190</v>
      </c>
      <c r="J116" s="813">
        <f t="shared" si="12"/>
        <v>30.276454525522713</v>
      </c>
    </row>
    <row r="117" spans="1:10" ht="18.75" customHeight="1" x14ac:dyDescent="0.2">
      <c r="A117" s="811">
        <v>4</v>
      </c>
      <c r="B117" s="812" t="s">
        <v>2286</v>
      </c>
      <c r="C117" s="817" t="s">
        <v>37</v>
      </c>
      <c r="D117" s="817" t="s">
        <v>112</v>
      </c>
      <c r="E117" s="795">
        <v>2</v>
      </c>
      <c r="F117" s="775">
        <v>1</v>
      </c>
      <c r="G117" s="813">
        <f t="shared" si="11"/>
        <v>50</v>
      </c>
      <c r="H117" s="814">
        <v>12203.630952380952</v>
      </c>
      <c r="I117" s="815">
        <v>5102</v>
      </c>
      <c r="J117" s="813">
        <f t="shared" si="12"/>
        <v>41.807229503319171</v>
      </c>
    </row>
    <row r="118" spans="1:10" ht="16.5" customHeight="1" x14ac:dyDescent="0.2">
      <c r="A118" s="811">
        <v>5</v>
      </c>
      <c r="B118" s="812" t="s">
        <v>2287</v>
      </c>
      <c r="C118" s="817" t="s">
        <v>37</v>
      </c>
      <c r="D118" s="817" t="s">
        <v>112</v>
      </c>
      <c r="E118" s="795">
        <v>2</v>
      </c>
      <c r="F118" s="710">
        <v>1</v>
      </c>
      <c r="G118" s="813">
        <f t="shared" si="11"/>
        <v>50</v>
      </c>
      <c r="H118" s="814">
        <v>4828.9339826839823</v>
      </c>
      <c r="I118" s="815">
        <v>2414.4699999999998</v>
      </c>
      <c r="J118" s="813">
        <f t="shared" si="12"/>
        <v>50.000062304807216</v>
      </c>
    </row>
    <row r="119" spans="1:10" ht="22.5" customHeight="1" x14ac:dyDescent="0.2">
      <c r="A119" s="902">
        <v>6</v>
      </c>
      <c r="B119" s="812" t="s">
        <v>2288</v>
      </c>
      <c r="C119" s="817" t="s">
        <v>37</v>
      </c>
      <c r="D119" s="817" t="s">
        <v>2271</v>
      </c>
      <c r="E119" s="795">
        <v>3</v>
      </c>
      <c r="F119" s="775">
        <v>1</v>
      </c>
      <c r="G119" s="813">
        <f t="shared" si="11"/>
        <v>33.333333333333329</v>
      </c>
      <c r="H119" s="814">
        <v>10204.761904761905</v>
      </c>
      <c r="I119" s="815">
        <v>2500</v>
      </c>
      <c r="J119" s="813">
        <f t="shared" si="12"/>
        <v>24.498366775548298</v>
      </c>
    </row>
    <row r="120" spans="1:10" ht="18.75" customHeight="1" x14ac:dyDescent="0.2">
      <c r="A120" s="811">
        <v>7</v>
      </c>
      <c r="B120" s="812" t="s">
        <v>2289</v>
      </c>
      <c r="C120" s="817" t="s">
        <v>37</v>
      </c>
      <c r="D120" s="817" t="s">
        <v>2271</v>
      </c>
      <c r="E120" s="795">
        <v>2</v>
      </c>
      <c r="F120" s="710">
        <v>1</v>
      </c>
      <c r="G120" s="813">
        <f t="shared" si="11"/>
        <v>50</v>
      </c>
      <c r="H120" s="814">
        <v>21264.767316017318</v>
      </c>
      <c r="I120" s="815">
        <v>8632.7999999999993</v>
      </c>
      <c r="J120" s="813">
        <f t="shared" si="12"/>
        <v>40.596729189213804</v>
      </c>
    </row>
    <row r="121" spans="1:10" ht="18.75" customHeight="1" x14ac:dyDescent="0.2">
      <c r="A121" s="811">
        <v>8</v>
      </c>
      <c r="B121" s="812" t="s">
        <v>2290</v>
      </c>
      <c r="C121" s="817" t="s">
        <v>32</v>
      </c>
      <c r="D121" s="817" t="s">
        <v>271</v>
      </c>
      <c r="E121" s="795">
        <v>4</v>
      </c>
      <c r="F121" s="710">
        <v>1</v>
      </c>
      <c r="G121" s="813">
        <f t="shared" si="11"/>
        <v>25</v>
      </c>
      <c r="H121" s="814">
        <v>10653.993506493505</v>
      </c>
      <c r="I121" s="815">
        <v>2663.5</v>
      </c>
      <c r="J121" s="813">
        <f t="shared" si="12"/>
        <v>25.000015237259372</v>
      </c>
    </row>
    <row r="122" spans="1:10" ht="17.25" customHeight="1" x14ac:dyDescent="0.2">
      <c r="A122" s="811">
        <v>9</v>
      </c>
      <c r="B122" s="812" t="s">
        <v>2291</v>
      </c>
      <c r="C122" s="817" t="s">
        <v>37</v>
      </c>
      <c r="D122" s="817" t="s">
        <v>41</v>
      </c>
      <c r="E122" s="795">
        <v>4</v>
      </c>
      <c r="F122" s="816">
        <v>2</v>
      </c>
      <c r="G122" s="813">
        <f t="shared" si="11"/>
        <v>50</v>
      </c>
      <c r="H122" s="814">
        <v>47100.957792207788</v>
      </c>
      <c r="I122" s="815">
        <v>23550.48</v>
      </c>
      <c r="J122" s="813">
        <f t="shared" si="12"/>
        <v>50.000002343680805</v>
      </c>
    </row>
    <row r="123" spans="1:10" ht="17.25" customHeight="1" x14ac:dyDescent="0.2">
      <c r="A123" s="902">
        <v>10</v>
      </c>
      <c r="B123" s="812" t="s">
        <v>2292</v>
      </c>
      <c r="C123" s="817" t="s">
        <v>32</v>
      </c>
      <c r="D123" s="817" t="s">
        <v>2293</v>
      </c>
      <c r="E123" s="795">
        <v>4</v>
      </c>
      <c r="F123" s="816">
        <v>1</v>
      </c>
      <c r="G123" s="813">
        <f t="shared" si="11"/>
        <v>25</v>
      </c>
      <c r="H123" s="814">
        <v>84700.600649350657</v>
      </c>
      <c r="I123" s="815">
        <v>21175</v>
      </c>
      <c r="J123" s="813">
        <f t="shared" si="12"/>
        <v>24.999822713963642</v>
      </c>
    </row>
    <row r="124" spans="1:10" ht="19.5" customHeight="1" x14ac:dyDescent="0.2">
      <c r="A124" s="811">
        <v>11</v>
      </c>
      <c r="B124" s="812" t="s">
        <v>2294</v>
      </c>
      <c r="C124" s="817" t="s">
        <v>37</v>
      </c>
      <c r="D124" s="817" t="s">
        <v>41</v>
      </c>
      <c r="E124" s="795">
        <v>1</v>
      </c>
      <c r="F124" s="816">
        <v>1</v>
      </c>
      <c r="G124" s="813">
        <f t="shared" si="11"/>
        <v>100</v>
      </c>
      <c r="H124" s="814">
        <v>652108</v>
      </c>
      <c r="I124" s="815">
        <v>242118.33</v>
      </c>
      <c r="J124" s="813">
        <f t="shared" si="12"/>
        <v>37.128563060106607</v>
      </c>
    </row>
    <row r="125" spans="1:10" ht="18" customHeight="1" x14ac:dyDescent="0.2">
      <c r="A125" s="811">
        <v>12</v>
      </c>
      <c r="B125" s="812" t="s">
        <v>2300</v>
      </c>
      <c r="C125" s="817" t="s">
        <v>37</v>
      </c>
      <c r="D125" s="817" t="s">
        <v>2295</v>
      </c>
      <c r="E125" s="795">
        <v>500</v>
      </c>
      <c r="F125" s="816">
        <v>600</v>
      </c>
      <c r="G125" s="813">
        <f t="shared" si="11"/>
        <v>120</v>
      </c>
      <c r="H125" s="814">
        <v>108860</v>
      </c>
      <c r="I125" s="815">
        <v>87408.65</v>
      </c>
      <c r="J125" s="813">
        <f t="shared" si="12"/>
        <v>80.294552636413741</v>
      </c>
    </row>
    <row r="126" spans="1:10" ht="25.5" x14ac:dyDescent="0.2">
      <c r="A126" s="811">
        <v>13</v>
      </c>
      <c r="B126" s="812" t="s">
        <v>2296</v>
      </c>
      <c r="C126" s="817" t="s">
        <v>32</v>
      </c>
      <c r="D126" s="817" t="s">
        <v>41</v>
      </c>
      <c r="E126" s="795">
        <v>4</v>
      </c>
      <c r="F126" s="816">
        <v>2</v>
      </c>
      <c r="G126" s="813">
        <f t="shared" si="11"/>
        <v>50</v>
      </c>
      <c r="H126" s="814">
        <v>45576.607142857138</v>
      </c>
      <c r="I126" s="815">
        <v>11788.3</v>
      </c>
      <c r="J126" s="813">
        <f t="shared" si="12"/>
        <v>25.864803764462501</v>
      </c>
    </row>
    <row r="127" spans="1:10" ht="25.5" x14ac:dyDescent="0.2">
      <c r="A127" s="902">
        <v>14</v>
      </c>
      <c r="B127" s="812" t="s">
        <v>2297</v>
      </c>
      <c r="C127" s="817" t="s">
        <v>32</v>
      </c>
      <c r="D127" s="817" t="s">
        <v>41</v>
      </c>
      <c r="E127" s="795">
        <v>1</v>
      </c>
      <c r="F127" s="710">
        <v>0</v>
      </c>
      <c r="G127" s="813">
        <f t="shared" si="11"/>
        <v>0</v>
      </c>
      <c r="H127" s="814">
        <v>0</v>
      </c>
      <c r="I127" s="814">
        <v>0</v>
      </c>
      <c r="J127" s="813">
        <v>0</v>
      </c>
    </row>
    <row r="128" spans="1:10" ht="18.75" customHeight="1" x14ac:dyDescent="0.2">
      <c r="A128" s="811">
        <v>15</v>
      </c>
      <c r="B128" s="812" t="s">
        <v>2298</v>
      </c>
      <c r="C128" s="817" t="s">
        <v>32</v>
      </c>
      <c r="D128" s="817" t="s">
        <v>2299</v>
      </c>
      <c r="E128" s="795">
        <v>1</v>
      </c>
      <c r="F128" s="710">
        <v>1</v>
      </c>
      <c r="G128" s="813">
        <f t="shared" si="11"/>
        <v>100</v>
      </c>
      <c r="H128" s="814">
        <v>64308</v>
      </c>
      <c r="I128" s="814">
        <v>0</v>
      </c>
      <c r="J128" s="813">
        <v>0</v>
      </c>
    </row>
  </sheetData>
  <mergeCells count="13">
    <mergeCell ref="A2:B2"/>
    <mergeCell ref="A4:F4"/>
    <mergeCell ref="A5:F5"/>
    <mergeCell ref="A6:A7"/>
    <mergeCell ref="B6:B7"/>
    <mergeCell ref="C6:C7"/>
    <mergeCell ref="D6:G6"/>
    <mergeCell ref="A11:B11"/>
    <mergeCell ref="A9:B9"/>
    <mergeCell ref="A58:B58"/>
    <mergeCell ref="A3:J3"/>
    <mergeCell ref="H6:J6"/>
    <mergeCell ref="C8:G8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J41"/>
  <sheetViews>
    <sheetView view="pageBreakPreview" topLeftCell="A16" zoomScale="90" zoomScaleNormal="100" zoomScaleSheetLayoutView="90" workbookViewId="0"/>
  </sheetViews>
  <sheetFormatPr baseColWidth="10" defaultRowHeight="12.75" x14ac:dyDescent="0.2"/>
  <cols>
    <col min="1" max="1" width="4.140625" style="4" customWidth="1"/>
    <col min="2" max="2" width="61.42578125" style="2" customWidth="1"/>
    <col min="3" max="3" width="16.28515625" style="5" customWidth="1"/>
    <col min="4" max="4" width="14.5703125" style="26" customWidth="1"/>
    <col min="5" max="5" width="12.42578125" style="40" customWidth="1"/>
    <col min="6" max="6" width="12.5703125" style="26" customWidth="1"/>
    <col min="7" max="7" width="11.5703125" style="2" customWidth="1"/>
    <col min="8" max="8" width="13.85546875" style="2" customWidth="1"/>
    <col min="9" max="9" width="13.5703125" style="2" customWidth="1"/>
    <col min="10" max="10" width="9.5703125" style="2" customWidth="1"/>
    <col min="11" max="16384" width="11.42578125" style="2"/>
  </cols>
  <sheetData>
    <row r="2" spans="1:10" ht="18" customHeight="1" x14ac:dyDescent="0.2">
      <c r="A2" s="2426" t="s">
        <v>30</v>
      </c>
      <c r="B2" s="2427"/>
      <c r="C2" s="915"/>
      <c r="D2" s="1146"/>
      <c r="E2" s="917"/>
      <c r="F2" s="1146"/>
      <c r="G2" s="919"/>
      <c r="H2" s="919"/>
      <c r="I2" s="919"/>
      <c r="J2" s="1016"/>
    </row>
    <row r="3" spans="1:10" ht="18" customHeight="1" x14ac:dyDescent="0.2">
      <c r="A3" s="2429" t="s">
        <v>2074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ht="18" customHeight="1" x14ac:dyDescent="0.2">
      <c r="A4" s="2366" t="s">
        <v>27</v>
      </c>
      <c r="B4" s="2337"/>
      <c r="C4" s="2337"/>
      <c r="D4" s="2337"/>
      <c r="E4" s="2337"/>
      <c r="F4" s="2337"/>
      <c r="G4" s="75"/>
      <c r="H4" s="75"/>
      <c r="I4" s="75"/>
      <c r="J4" s="648"/>
    </row>
    <row r="5" spans="1:10" ht="18" customHeight="1" x14ac:dyDescent="0.2">
      <c r="A5" s="2368" t="s">
        <v>2504</v>
      </c>
      <c r="B5" s="2369"/>
      <c r="C5" s="2369"/>
      <c r="D5" s="2369"/>
      <c r="E5" s="2369"/>
      <c r="F5" s="2369"/>
      <c r="G5" s="75"/>
      <c r="H5" s="75"/>
      <c r="I5" s="75"/>
      <c r="J5" s="648"/>
    </row>
    <row r="6" spans="1:10" ht="18" customHeight="1" x14ac:dyDescent="0.2">
      <c r="A6" s="2367" t="s">
        <v>0</v>
      </c>
      <c r="B6" s="2367" t="s">
        <v>1</v>
      </c>
      <c r="C6" s="2367" t="s">
        <v>2</v>
      </c>
      <c r="D6" s="2365" t="s">
        <v>1781</v>
      </c>
      <c r="E6" s="2365"/>
      <c r="F6" s="2365"/>
      <c r="G6" s="2365"/>
      <c r="H6" s="2365" t="s">
        <v>774</v>
      </c>
      <c r="I6" s="2365"/>
      <c r="J6" s="2365"/>
    </row>
    <row r="7" spans="1:10" ht="26.25" customHeight="1" x14ac:dyDescent="0.2">
      <c r="A7" s="2367"/>
      <c r="B7" s="2367"/>
      <c r="C7" s="2367"/>
      <c r="D7" s="1621" t="s">
        <v>3</v>
      </c>
      <c r="E7" s="1621" t="s">
        <v>4</v>
      </c>
      <c r="F7" s="1621" t="s">
        <v>747</v>
      </c>
      <c r="G7" s="1621" t="s">
        <v>746</v>
      </c>
      <c r="H7" s="1383" t="s">
        <v>748</v>
      </c>
      <c r="I7" s="1621" t="s">
        <v>747</v>
      </c>
      <c r="J7" s="1621" t="s">
        <v>746</v>
      </c>
    </row>
    <row r="8" spans="1:10" ht="14.25" customHeight="1" x14ac:dyDescent="0.2">
      <c r="A8" s="1384"/>
      <c r="B8" s="1385"/>
      <c r="C8" s="2364" t="s">
        <v>2741</v>
      </c>
      <c r="D8" s="2513"/>
      <c r="E8" s="2513"/>
      <c r="F8" s="2513"/>
      <c r="G8" s="2513"/>
      <c r="H8" s="1386">
        <f>+H9+H35+H40</f>
        <v>3568400</v>
      </c>
      <c r="I8" s="1387">
        <f>+I9+I35+I40</f>
        <v>1181107.3400000001</v>
      </c>
      <c r="J8" s="1388">
        <f>I8/H8*100</f>
        <v>33.099073534357139</v>
      </c>
    </row>
    <row r="9" spans="1:10" ht="18.75" customHeight="1" x14ac:dyDescent="0.2">
      <c r="A9" s="2514" t="s">
        <v>308</v>
      </c>
      <c r="B9" s="2514"/>
      <c r="C9" s="1389"/>
      <c r="D9" s="1389"/>
      <c r="E9" s="1390"/>
      <c r="F9" s="1390"/>
      <c r="G9" s="1390"/>
      <c r="H9" s="1391">
        <f>SUM(H10,H13,H17,H20,H24)+H32</f>
        <v>2915553</v>
      </c>
      <c r="I9" s="1614">
        <f>SUM(I10,I13,I17,I20,I24)+I32</f>
        <v>1032751.56</v>
      </c>
      <c r="J9" s="1392">
        <f>I9/H9*100</f>
        <v>35.42215010325657</v>
      </c>
    </row>
    <row r="10" spans="1:10" ht="19.5" customHeight="1" x14ac:dyDescent="0.2">
      <c r="A10" s="1393">
        <v>1</v>
      </c>
      <c r="B10" s="1394" t="s">
        <v>707</v>
      </c>
      <c r="C10" s="1395"/>
      <c r="D10" s="1395"/>
      <c r="E10" s="1396"/>
      <c r="F10" s="1396"/>
      <c r="G10" s="1396"/>
      <c r="H10" s="1397">
        <f>SUM(H11:H12)</f>
        <v>245082</v>
      </c>
      <c r="I10" s="1398">
        <f>SUM(I11:I12)</f>
        <v>63214.559999999998</v>
      </c>
      <c r="J10" s="1398">
        <f t="shared" ref="J10" si="0">I10/H10*100</f>
        <v>25.793228388865767</v>
      </c>
    </row>
    <row r="11" spans="1:10" ht="25.5" x14ac:dyDescent="0.2">
      <c r="A11" s="1399">
        <v>1.1000000000000001</v>
      </c>
      <c r="B11" s="1400" t="s">
        <v>309</v>
      </c>
      <c r="C11" s="1401" t="s">
        <v>32</v>
      </c>
      <c r="D11" s="1401" t="s">
        <v>310</v>
      </c>
      <c r="E11" s="1402">
        <v>2</v>
      </c>
      <c r="F11" s="1402">
        <v>1</v>
      </c>
      <c r="G11" s="1403">
        <f>F11/E11*100</f>
        <v>50</v>
      </c>
      <c r="H11" s="1404">
        <v>121452</v>
      </c>
      <c r="I11" s="1403">
        <v>8200</v>
      </c>
      <c r="J11" s="1403">
        <f>I11/H11*100</f>
        <v>6.7516385073938672</v>
      </c>
    </row>
    <row r="12" spans="1:10" ht="63.75" x14ac:dyDescent="0.2">
      <c r="A12" s="1399">
        <v>1.2</v>
      </c>
      <c r="B12" s="1400" t="s">
        <v>311</v>
      </c>
      <c r="C12" s="1401" t="s">
        <v>32</v>
      </c>
      <c r="D12" s="1401" t="s">
        <v>312</v>
      </c>
      <c r="E12" s="1402">
        <v>14</v>
      </c>
      <c r="F12" s="1402">
        <v>10</v>
      </c>
      <c r="G12" s="1403">
        <f>F12/E12*100</f>
        <v>71.428571428571431</v>
      </c>
      <c r="H12" s="1404">
        <v>123630</v>
      </c>
      <c r="I12" s="1403">
        <f>55015-0.44</f>
        <v>55014.559999999998</v>
      </c>
      <c r="J12" s="1403">
        <f>I12/H12*100</f>
        <v>44.499360996521879</v>
      </c>
    </row>
    <row r="13" spans="1:10" ht="17.25" customHeight="1" x14ac:dyDescent="0.2">
      <c r="A13" s="1393">
        <v>2</v>
      </c>
      <c r="B13" s="1405" t="s">
        <v>331</v>
      </c>
      <c r="C13" s="1395"/>
      <c r="D13" s="1395"/>
      <c r="E13" s="1396"/>
      <c r="F13" s="1396"/>
      <c r="G13" s="1398"/>
      <c r="H13" s="1397">
        <f>SUM(H14:H16)</f>
        <v>1224823</v>
      </c>
      <c r="I13" s="1398">
        <f>SUM(I14:I16)</f>
        <v>643938</v>
      </c>
      <c r="J13" s="1398">
        <f t="shared" ref="J13:J34" si="1">I13/H13*100</f>
        <v>52.573963748231378</v>
      </c>
    </row>
    <row r="14" spans="1:10" ht="25.5" x14ac:dyDescent="0.2">
      <c r="A14" s="1406">
        <v>2.1</v>
      </c>
      <c r="B14" s="1407" t="s">
        <v>313</v>
      </c>
      <c r="C14" s="1408" t="s">
        <v>32</v>
      </c>
      <c r="D14" s="1408" t="s">
        <v>71</v>
      </c>
      <c r="E14" s="1409">
        <v>12</v>
      </c>
      <c r="F14" s="1409">
        <v>12</v>
      </c>
      <c r="G14" s="1403">
        <f t="shared" ref="G14:G34" si="2">F14/E14*100</f>
        <v>100</v>
      </c>
      <c r="H14" s="1410">
        <v>700000</v>
      </c>
      <c r="I14" s="1411">
        <v>573277</v>
      </c>
      <c r="J14" s="1403">
        <f t="shared" si="1"/>
        <v>81.896714285714296</v>
      </c>
    </row>
    <row r="15" spans="1:10" ht="17.25" customHeight="1" x14ac:dyDescent="0.2">
      <c r="A15" s="1406">
        <v>2.2000000000000002</v>
      </c>
      <c r="B15" s="1407" t="s">
        <v>314</v>
      </c>
      <c r="C15" s="1408" t="s">
        <v>32</v>
      </c>
      <c r="D15" s="1408" t="s">
        <v>92</v>
      </c>
      <c r="E15" s="1409">
        <v>160</v>
      </c>
      <c r="F15" s="1409">
        <v>100</v>
      </c>
      <c r="G15" s="1403">
        <f t="shared" si="2"/>
        <v>62.5</v>
      </c>
      <c r="H15" s="1410">
        <v>127447</v>
      </c>
      <c r="I15" s="1411">
        <v>70661</v>
      </c>
      <c r="J15" s="1403">
        <f t="shared" si="1"/>
        <v>55.443439233563751</v>
      </c>
    </row>
    <row r="16" spans="1:10" ht="25.5" x14ac:dyDescent="0.2">
      <c r="A16" s="1406">
        <v>2.2999999999999998</v>
      </c>
      <c r="B16" s="1407" t="s">
        <v>2073</v>
      </c>
      <c r="C16" s="1408" t="s">
        <v>32</v>
      </c>
      <c r="D16" s="1408" t="s">
        <v>92</v>
      </c>
      <c r="E16" s="1409">
        <v>100</v>
      </c>
      <c r="F16" s="1409">
        <v>0</v>
      </c>
      <c r="G16" s="1403">
        <f t="shared" si="2"/>
        <v>0</v>
      </c>
      <c r="H16" s="1410">
        <v>397376</v>
      </c>
      <c r="I16" s="1411">
        <v>0</v>
      </c>
      <c r="J16" s="1403">
        <f t="shared" si="1"/>
        <v>0</v>
      </c>
    </row>
    <row r="17" spans="1:10" ht="17.25" customHeight="1" x14ac:dyDescent="0.2">
      <c r="A17" s="1412">
        <v>3</v>
      </c>
      <c r="B17" s="1413" t="s">
        <v>329</v>
      </c>
      <c r="C17" s="1389"/>
      <c r="D17" s="1389"/>
      <c r="E17" s="1414"/>
      <c r="F17" s="1414"/>
      <c r="G17" s="1398"/>
      <c r="H17" s="1415">
        <f>SUM(H18:H19)</f>
        <v>21936</v>
      </c>
      <c r="I17" s="1416">
        <f>SUM(I18:I19)</f>
        <v>11371</v>
      </c>
      <c r="J17" s="1398">
        <f t="shared" si="1"/>
        <v>51.837162654996348</v>
      </c>
    </row>
    <row r="18" spans="1:10" ht="18" customHeight="1" x14ac:dyDescent="0.2">
      <c r="A18" s="1406">
        <v>3.1</v>
      </c>
      <c r="B18" s="1407" t="s">
        <v>315</v>
      </c>
      <c r="C18" s="1408" t="s">
        <v>37</v>
      </c>
      <c r="D18" s="1408" t="s">
        <v>111</v>
      </c>
      <c r="E18" s="1409">
        <v>6</v>
      </c>
      <c r="F18" s="1409">
        <v>3</v>
      </c>
      <c r="G18" s="1403">
        <f t="shared" si="2"/>
        <v>50</v>
      </c>
      <c r="H18" s="1410">
        <v>15388</v>
      </c>
      <c r="I18" s="1411">
        <v>8251</v>
      </c>
      <c r="J18" s="1403">
        <f t="shared" si="1"/>
        <v>53.619703665193654</v>
      </c>
    </row>
    <row r="19" spans="1:10" ht="15" customHeight="1" x14ac:dyDescent="0.2">
      <c r="A19" s="1406">
        <v>3.2</v>
      </c>
      <c r="B19" s="1407" t="s">
        <v>316</v>
      </c>
      <c r="C19" s="1408" t="s">
        <v>32</v>
      </c>
      <c r="D19" s="1408" t="s">
        <v>49</v>
      </c>
      <c r="E19" s="1409">
        <v>65</v>
      </c>
      <c r="F19" s="1409">
        <v>35</v>
      </c>
      <c r="G19" s="1403">
        <f t="shared" si="2"/>
        <v>53.846153846153847</v>
      </c>
      <c r="H19" s="1410">
        <v>6548</v>
      </c>
      <c r="I19" s="1411">
        <v>3120</v>
      </c>
      <c r="J19" s="1403">
        <f t="shared" si="1"/>
        <v>47.648136835675018</v>
      </c>
    </row>
    <row r="20" spans="1:10" ht="18" customHeight="1" x14ac:dyDescent="0.2">
      <c r="A20" s="1393">
        <v>4</v>
      </c>
      <c r="B20" s="1405" t="s">
        <v>330</v>
      </c>
      <c r="C20" s="1395"/>
      <c r="D20" s="1395"/>
      <c r="E20" s="1396"/>
      <c r="F20" s="1396"/>
      <c r="G20" s="1398"/>
      <c r="H20" s="1397">
        <f>SUM(H21:H23)</f>
        <v>77205</v>
      </c>
      <c r="I20" s="1398">
        <f>SUM(I21:I23)</f>
        <v>27699</v>
      </c>
      <c r="J20" s="1398">
        <f t="shared" si="1"/>
        <v>35.877210025257433</v>
      </c>
    </row>
    <row r="21" spans="1:10" ht="17.25" customHeight="1" x14ac:dyDescent="0.2">
      <c r="A21" s="1399">
        <v>4.0999999999999996</v>
      </c>
      <c r="B21" s="1400" t="s">
        <v>317</v>
      </c>
      <c r="C21" s="1401" t="s">
        <v>37</v>
      </c>
      <c r="D21" s="1401" t="s">
        <v>77</v>
      </c>
      <c r="E21" s="1402">
        <v>8</v>
      </c>
      <c r="F21" s="1402">
        <v>3</v>
      </c>
      <c r="G21" s="1403">
        <f t="shared" si="2"/>
        <v>37.5</v>
      </c>
      <c r="H21" s="1404">
        <v>29706</v>
      </c>
      <c r="I21" s="1403">
        <v>12000</v>
      </c>
      <c r="J21" s="1403">
        <f t="shared" si="1"/>
        <v>40.395879620278727</v>
      </c>
    </row>
    <row r="22" spans="1:10" ht="17.25" customHeight="1" x14ac:dyDescent="0.2">
      <c r="A22" s="1399">
        <v>4.2</v>
      </c>
      <c r="B22" s="1400" t="s">
        <v>318</v>
      </c>
      <c r="C22" s="1401" t="s">
        <v>32</v>
      </c>
      <c r="D22" s="1401" t="s">
        <v>85</v>
      </c>
      <c r="E22" s="1402">
        <v>1</v>
      </c>
      <c r="F22" s="1402">
        <v>1</v>
      </c>
      <c r="G22" s="1403">
        <f t="shared" si="2"/>
        <v>100</v>
      </c>
      <c r="H22" s="1404">
        <v>36254</v>
      </c>
      <c r="I22" s="1403">
        <v>15699</v>
      </c>
      <c r="J22" s="1403">
        <f t="shared" si="1"/>
        <v>43.302807966017539</v>
      </c>
    </row>
    <row r="23" spans="1:10" ht="25.5" x14ac:dyDescent="0.2">
      <c r="A23" s="1399">
        <v>4.3</v>
      </c>
      <c r="B23" s="1400" t="s">
        <v>319</v>
      </c>
      <c r="C23" s="1401" t="s">
        <v>37</v>
      </c>
      <c r="D23" s="1401" t="s">
        <v>320</v>
      </c>
      <c r="E23" s="1402">
        <v>2</v>
      </c>
      <c r="F23" s="1402">
        <v>0</v>
      </c>
      <c r="G23" s="1403">
        <f t="shared" si="2"/>
        <v>0</v>
      </c>
      <c r="H23" s="1404">
        <v>11245</v>
      </c>
      <c r="I23" s="1403">
        <v>0</v>
      </c>
      <c r="J23" s="1403">
        <f t="shared" si="1"/>
        <v>0</v>
      </c>
    </row>
    <row r="24" spans="1:10" ht="18.75" customHeight="1" x14ac:dyDescent="0.2">
      <c r="A24" s="1393">
        <v>5</v>
      </c>
      <c r="B24" s="1405" t="s">
        <v>180</v>
      </c>
      <c r="C24" s="1395"/>
      <c r="D24" s="1395"/>
      <c r="E24" s="1396"/>
      <c r="F24" s="1396"/>
      <c r="G24" s="1398"/>
      <c r="H24" s="1397">
        <f>SUM(H25:H31)</f>
        <v>625518</v>
      </c>
      <c r="I24" s="1398">
        <f>SUM(I25:I31)</f>
        <v>69176</v>
      </c>
      <c r="J24" s="1398">
        <f t="shared" si="1"/>
        <v>11.058994305519585</v>
      </c>
    </row>
    <row r="25" spans="1:10" ht="25.5" x14ac:dyDescent="0.2">
      <c r="A25" s="1406">
        <v>5.0999999999999996</v>
      </c>
      <c r="B25" s="1407" t="s">
        <v>321</v>
      </c>
      <c r="C25" s="1408" t="s">
        <v>32</v>
      </c>
      <c r="D25" s="1408" t="s">
        <v>60</v>
      </c>
      <c r="E25" s="1409">
        <v>13</v>
      </c>
      <c r="F25" s="1409">
        <v>12</v>
      </c>
      <c r="G25" s="1403">
        <f t="shared" si="2"/>
        <v>92.307692307692307</v>
      </c>
      <c r="H25" s="1410">
        <v>101610</v>
      </c>
      <c r="I25" s="1411">
        <v>42582</v>
      </c>
      <c r="J25" s="1403">
        <f t="shared" si="1"/>
        <v>41.907292589312071</v>
      </c>
    </row>
    <row r="26" spans="1:10" ht="17.25" customHeight="1" x14ac:dyDescent="0.2">
      <c r="A26" s="1406">
        <v>5.2</v>
      </c>
      <c r="B26" s="1407" t="s">
        <v>322</v>
      </c>
      <c r="C26" s="1408" t="s">
        <v>32</v>
      </c>
      <c r="D26" s="1408" t="s">
        <v>96</v>
      </c>
      <c r="E26" s="1409">
        <v>7</v>
      </c>
      <c r="F26" s="1409">
        <v>1</v>
      </c>
      <c r="G26" s="1403">
        <f t="shared" si="2"/>
        <v>14.285714285714285</v>
      </c>
      <c r="H26" s="1410">
        <v>59114</v>
      </c>
      <c r="I26" s="1411">
        <v>12542</v>
      </c>
      <c r="J26" s="1403">
        <f t="shared" si="1"/>
        <v>21.216632269851473</v>
      </c>
    </row>
    <row r="27" spans="1:10" ht="25.5" x14ac:dyDescent="0.2">
      <c r="A27" s="1406">
        <v>5.3</v>
      </c>
      <c r="B27" s="1407" t="s">
        <v>323</v>
      </c>
      <c r="C27" s="1408" t="s">
        <v>32</v>
      </c>
      <c r="D27" s="1408" t="s">
        <v>59</v>
      </c>
      <c r="E27" s="1409">
        <v>4</v>
      </c>
      <c r="F27" s="1409">
        <v>2</v>
      </c>
      <c r="G27" s="1403">
        <f t="shared" si="2"/>
        <v>50</v>
      </c>
      <c r="H27" s="1410">
        <v>29524</v>
      </c>
      <c r="I27" s="1411">
        <v>6250</v>
      </c>
      <c r="J27" s="1403">
        <f t="shared" si="1"/>
        <v>21.169218263107979</v>
      </c>
    </row>
    <row r="28" spans="1:10" ht="25.5" x14ac:dyDescent="0.2">
      <c r="A28" s="1406">
        <v>5.4</v>
      </c>
      <c r="B28" s="1407" t="s">
        <v>324</v>
      </c>
      <c r="C28" s="1408" t="s">
        <v>37</v>
      </c>
      <c r="D28" s="1408" t="s">
        <v>59</v>
      </c>
      <c r="E28" s="1409">
        <v>6</v>
      </c>
      <c r="F28" s="1409">
        <v>0</v>
      </c>
      <c r="G28" s="1403">
        <f t="shared" si="2"/>
        <v>0</v>
      </c>
      <c r="H28" s="1410">
        <v>62860</v>
      </c>
      <c r="I28" s="1411">
        <v>0</v>
      </c>
      <c r="J28" s="1403">
        <f t="shared" si="1"/>
        <v>0</v>
      </c>
    </row>
    <row r="29" spans="1:10" ht="25.5" x14ac:dyDescent="0.2">
      <c r="A29" s="1406">
        <v>5.5</v>
      </c>
      <c r="B29" s="1407" t="s">
        <v>325</v>
      </c>
      <c r="C29" s="1408" t="s">
        <v>32</v>
      </c>
      <c r="D29" s="1408" t="s">
        <v>59</v>
      </c>
      <c r="E29" s="1409">
        <v>13</v>
      </c>
      <c r="F29" s="1409">
        <v>0</v>
      </c>
      <c r="G29" s="1403">
        <f t="shared" si="2"/>
        <v>0</v>
      </c>
      <c r="H29" s="1410">
        <v>8625</v>
      </c>
      <c r="I29" s="1411">
        <v>0</v>
      </c>
      <c r="J29" s="1403">
        <f t="shared" si="1"/>
        <v>0</v>
      </c>
    </row>
    <row r="30" spans="1:10" ht="21" customHeight="1" x14ac:dyDescent="0.2">
      <c r="A30" s="1406">
        <v>5.6</v>
      </c>
      <c r="B30" s="1407" t="s">
        <v>326</v>
      </c>
      <c r="C30" s="1408" t="s">
        <v>32</v>
      </c>
      <c r="D30" s="1408" t="s">
        <v>59</v>
      </c>
      <c r="E30" s="1409">
        <v>6</v>
      </c>
      <c r="F30" s="1409">
        <v>0</v>
      </c>
      <c r="G30" s="1403">
        <f t="shared" si="2"/>
        <v>0</v>
      </c>
      <c r="H30" s="1410">
        <v>11250</v>
      </c>
      <c r="I30" s="1411">
        <v>0</v>
      </c>
      <c r="J30" s="1403">
        <f t="shared" si="1"/>
        <v>0</v>
      </c>
    </row>
    <row r="31" spans="1:10" ht="24" customHeight="1" x14ac:dyDescent="0.2">
      <c r="A31" s="1406">
        <v>5.7</v>
      </c>
      <c r="B31" s="1407" t="s">
        <v>705</v>
      </c>
      <c r="C31" s="1408" t="s">
        <v>37</v>
      </c>
      <c r="D31" s="1408" t="s">
        <v>59</v>
      </c>
      <c r="E31" s="1409">
        <v>1</v>
      </c>
      <c r="F31" s="1409">
        <v>0</v>
      </c>
      <c r="G31" s="1403">
        <f t="shared" si="2"/>
        <v>0</v>
      </c>
      <c r="H31" s="1410">
        <v>352535</v>
      </c>
      <c r="I31" s="1411">
        <v>7802</v>
      </c>
      <c r="J31" s="1403">
        <f t="shared" si="1"/>
        <v>2.2131135915582849</v>
      </c>
    </row>
    <row r="32" spans="1:10" ht="15.75" customHeight="1" x14ac:dyDescent="0.2">
      <c r="A32" s="1412">
        <v>6</v>
      </c>
      <c r="B32" s="1417" t="s">
        <v>332</v>
      </c>
      <c r="C32" s="1389"/>
      <c r="D32" s="1389"/>
      <c r="E32" s="1414"/>
      <c r="F32" s="1414"/>
      <c r="G32" s="1398"/>
      <c r="H32" s="1397">
        <f>SUM(H33:H34)</f>
        <v>720989</v>
      </c>
      <c r="I32" s="1398">
        <f>SUM(I33:I34)</f>
        <v>217353</v>
      </c>
      <c r="J32" s="1398">
        <f t="shared" si="1"/>
        <v>30.146507089567248</v>
      </c>
    </row>
    <row r="33" spans="1:10" ht="20.25" customHeight="1" x14ac:dyDescent="0.2">
      <c r="A33" s="1406">
        <v>6.1</v>
      </c>
      <c r="B33" s="1407" t="s">
        <v>327</v>
      </c>
      <c r="C33" s="1408" t="s">
        <v>32</v>
      </c>
      <c r="D33" s="1408" t="s">
        <v>91</v>
      </c>
      <c r="E33" s="1409">
        <v>300</v>
      </c>
      <c r="F33" s="1409">
        <v>100</v>
      </c>
      <c r="G33" s="1403">
        <f t="shared" si="2"/>
        <v>33.333333333333329</v>
      </c>
      <c r="H33" s="1410">
        <v>320220</v>
      </c>
      <c r="I33" s="1411">
        <v>109068</v>
      </c>
      <c r="J33" s="1403">
        <f t="shared" si="1"/>
        <v>34.060333520704518</v>
      </c>
    </row>
    <row r="34" spans="1:10" ht="16.5" customHeight="1" x14ac:dyDescent="0.2">
      <c r="A34" s="1406">
        <v>6.2</v>
      </c>
      <c r="B34" s="1407" t="s">
        <v>328</v>
      </c>
      <c r="C34" s="1408" t="s">
        <v>32</v>
      </c>
      <c r="D34" s="1408" t="s">
        <v>91</v>
      </c>
      <c r="E34" s="1409">
        <v>60</v>
      </c>
      <c r="F34" s="1409">
        <v>30</v>
      </c>
      <c r="G34" s="1403">
        <f t="shared" si="2"/>
        <v>50</v>
      </c>
      <c r="H34" s="1410">
        <v>400769</v>
      </c>
      <c r="I34" s="1411">
        <v>108285</v>
      </c>
      <c r="J34" s="1403">
        <f t="shared" si="1"/>
        <v>27.019305385396574</v>
      </c>
    </row>
    <row r="35" spans="1:10" ht="18.75" customHeight="1" x14ac:dyDescent="0.2">
      <c r="A35" s="1418" t="s">
        <v>377</v>
      </c>
      <c r="B35" s="31"/>
      <c r="C35" s="1419"/>
      <c r="D35" s="1420"/>
      <c r="E35" s="1421"/>
      <c r="F35" s="1420"/>
      <c r="G35" s="1422"/>
      <c r="H35" s="1423">
        <f>+H36</f>
        <v>352847</v>
      </c>
      <c r="I35" s="1424">
        <f>+I36</f>
        <v>146008</v>
      </c>
      <c r="J35" s="1425">
        <f>+I35/H35*100</f>
        <v>41.379974889966476</v>
      </c>
    </row>
    <row r="36" spans="1:10" ht="26.25" customHeight="1" x14ac:dyDescent="0.2">
      <c r="A36" s="1426">
        <v>1</v>
      </c>
      <c r="B36" s="1427" t="s">
        <v>2075</v>
      </c>
      <c r="C36" s="2511" t="s">
        <v>527</v>
      </c>
      <c r="D36" s="1428"/>
      <c r="E36" s="1429"/>
      <c r="F36" s="1430"/>
      <c r="G36" s="1431"/>
      <c r="H36" s="1432">
        <f>SUM(H37:H39)</f>
        <v>352847</v>
      </c>
      <c r="I36" s="1433">
        <f>SUM(I37:I39)</f>
        <v>146008</v>
      </c>
      <c r="J36" s="1433">
        <f>+I36/H36*100</f>
        <v>41.379974889966476</v>
      </c>
    </row>
    <row r="37" spans="1:10" ht="21" customHeight="1" x14ac:dyDescent="0.2">
      <c r="A37" s="1434">
        <v>1.1000000000000001</v>
      </c>
      <c r="B37" s="1435" t="s">
        <v>532</v>
      </c>
      <c r="C37" s="2382"/>
      <c r="D37" s="1428" t="s">
        <v>2078</v>
      </c>
      <c r="E37" s="1436">
        <v>20000</v>
      </c>
      <c r="F37" s="1478">
        <v>20000</v>
      </c>
      <c r="G37" s="1431">
        <f t="shared" ref="G37:G39" si="3">+F37/E37*100</f>
        <v>100</v>
      </c>
      <c r="H37" s="1436">
        <v>217058</v>
      </c>
      <c r="I37" s="1437">
        <v>13058</v>
      </c>
      <c r="J37" s="1438">
        <f>+I37/H37*100</f>
        <v>6.0159035833740289</v>
      </c>
    </row>
    <row r="38" spans="1:10" ht="21" customHeight="1" x14ac:dyDescent="0.2">
      <c r="A38" s="1434">
        <v>1.2</v>
      </c>
      <c r="B38" s="1435" t="s">
        <v>2076</v>
      </c>
      <c r="C38" s="2382"/>
      <c r="D38" s="1428" t="s">
        <v>414</v>
      </c>
      <c r="E38" s="1429">
        <v>1</v>
      </c>
      <c r="F38" s="1430">
        <v>0.94930000000000003</v>
      </c>
      <c r="G38" s="1431">
        <f t="shared" si="3"/>
        <v>94.93</v>
      </c>
      <c r="H38" s="1436">
        <v>55989</v>
      </c>
      <c r="I38" s="1437">
        <v>53150</v>
      </c>
      <c r="J38" s="1438">
        <f t="shared" ref="J38:J39" si="4">+I38/H38*100</f>
        <v>94.929361124506599</v>
      </c>
    </row>
    <row r="39" spans="1:10" ht="20.25" customHeight="1" x14ac:dyDescent="0.2">
      <c r="A39" s="1434">
        <v>1.3</v>
      </c>
      <c r="B39" s="1435" t="s">
        <v>2077</v>
      </c>
      <c r="C39" s="2512"/>
      <c r="D39" s="1428" t="s">
        <v>736</v>
      </c>
      <c r="E39" s="1429">
        <v>1</v>
      </c>
      <c r="F39" s="1430">
        <v>1</v>
      </c>
      <c r="G39" s="1431">
        <f t="shared" si="3"/>
        <v>100</v>
      </c>
      <c r="H39" s="1436">
        <v>79800</v>
      </c>
      <c r="I39" s="1437">
        <v>79800</v>
      </c>
      <c r="J39" s="1438">
        <f t="shared" si="4"/>
        <v>100</v>
      </c>
    </row>
    <row r="40" spans="1:10" ht="18.75" customHeight="1" x14ac:dyDescent="0.2">
      <c r="A40" s="1418" t="s">
        <v>378</v>
      </c>
      <c r="B40" s="31"/>
      <c r="C40" s="1419"/>
      <c r="D40" s="1420"/>
      <c r="E40" s="1421"/>
      <c r="F40" s="1420"/>
      <c r="G40" s="1422"/>
      <c r="H40" s="1423">
        <f>+H41</f>
        <v>300000</v>
      </c>
      <c r="I40" s="1424">
        <f>+I41</f>
        <v>2347.7800000000002</v>
      </c>
      <c r="J40" s="1392">
        <f t="shared" ref="J40:J41" si="5">+I40/H40*100</f>
        <v>0.78259333333333336</v>
      </c>
    </row>
    <row r="41" spans="1:10" ht="18.75" customHeight="1" x14ac:dyDescent="0.2">
      <c r="A41" s="1439">
        <v>1</v>
      </c>
      <c r="B41" s="1440" t="s">
        <v>2079</v>
      </c>
      <c r="C41" s="1408" t="s">
        <v>32</v>
      </c>
      <c r="D41" s="1441" t="s">
        <v>395</v>
      </c>
      <c r="E41" s="1409">
        <v>150</v>
      </c>
      <c r="F41" s="1409">
        <v>20</v>
      </c>
      <c r="G41" s="1442">
        <f>F41*100/E41</f>
        <v>13.333333333333334</v>
      </c>
      <c r="H41" s="1443">
        <v>300000</v>
      </c>
      <c r="I41" s="1444">
        <v>2347.7800000000002</v>
      </c>
      <c r="J41" s="1442">
        <f t="shared" si="5"/>
        <v>0.78259333333333336</v>
      </c>
    </row>
  </sheetData>
  <mergeCells count="12">
    <mergeCell ref="A2:B2"/>
    <mergeCell ref="A4:F4"/>
    <mergeCell ref="A5:F5"/>
    <mergeCell ref="A6:A7"/>
    <mergeCell ref="B6:B7"/>
    <mergeCell ref="C6:C7"/>
    <mergeCell ref="D6:G6"/>
    <mergeCell ref="C36:C39"/>
    <mergeCell ref="H6:J6"/>
    <mergeCell ref="A3:J3"/>
    <mergeCell ref="C8:G8"/>
    <mergeCell ref="A9:B9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abSelected="1" view="pageBreakPreview" topLeftCell="A55" zoomScaleNormal="100" zoomScaleSheetLayoutView="100" workbookViewId="0">
      <selection activeCell="H80" sqref="H80"/>
    </sheetView>
  </sheetViews>
  <sheetFormatPr baseColWidth="10" defaultRowHeight="12.75" x14ac:dyDescent="0.2"/>
  <cols>
    <col min="1" max="1" width="4.140625" style="4" customWidth="1"/>
    <col min="2" max="2" width="61.42578125" style="2" customWidth="1"/>
    <col min="3" max="3" width="16.28515625" style="5" customWidth="1"/>
    <col min="4" max="4" width="14.5703125" style="26" customWidth="1"/>
    <col min="5" max="5" width="12.42578125" style="40" customWidth="1"/>
    <col min="6" max="6" width="12.5703125" style="26" customWidth="1"/>
    <col min="7" max="7" width="11.5703125" style="2" customWidth="1"/>
    <col min="8" max="8" width="13.85546875" style="2" customWidth="1"/>
    <col min="9" max="9" width="13.5703125" style="2" customWidth="1"/>
    <col min="10" max="10" width="9.5703125" style="2" customWidth="1"/>
    <col min="11" max="16384" width="11.42578125" style="2"/>
  </cols>
  <sheetData>
    <row r="2" spans="1:10" ht="18" customHeight="1" x14ac:dyDescent="0.2">
      <c r="A2" s="2515" t="s">
        <v>31</v>
      </c>
      <c r="B2" s="2516"/>
      <c r="C2" s="1445"/>
      <c r="D2" s="1446"/>
      <c r="E2" s="1447"/>
      <c r="F2" s="1446"/>
      <c r="G2" s="1448"/>
      <c r="H2" s="1448"/>
      <c r="I2" s="1448"/>
      <c r="J2" s="1449"/>
    </row>
    <row r="3" spans="1:10" ht="24" customHeight="1" x14ac:dyDescent="0.2">
      <c r="A3" s="2429" t="s">
        <v>2080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ht="19.5" customHeight="1" x14ac:dyDescent="0.2">
      <c r="A4" s="2366" t="s">
        <v>27</v>
      </c>
      <c r="B4" s="2337"/>
      <c r="C4" s="2337"/>
      <c r="D4" s="2337"/>
      <c r="E4" s="2337"/>
      <c r="F4" s="2337"/>
      <c r="G4" s="75"/>
      <c r="H4" s="75"/>
      <c r="I4" s="75"/>
      <c r="J4" s="648"/>
    </row>
    <row r="5" spans="1:10" ht="21.75" customHeight="1" x14ac:dyDescent="0.2">
      <c r="A5" s="2368" t="s">
        <v>359</v>
      </c>
      <c r="B5" s="2432"/>
      <c r="C5" s="2432"/>
      <c r="D5" s="2432"/>
      <c r="E5" s="2432"/>
      <c r="F5" s="2432"/>
      <c r="G5" s="2432"/>
      <c r="H5" s="2432"/>
      <c r="I5" s="2432"/>
      <c r="J5" s="2370"/>
    </row>
    <row r="6" spans="1:10" ht="18" customHeight="1" x14ac:dyDescent="0.2">
      <c r="A6" s="2523" t="s">
        <v>0</v>
      </c>
      <c r="B6" s="2523" t="s">
        <v>1</v>
      </c>
      <c r="C6" s="2523" t="s">
        <v>2</v>
      </c>
      <c r="D6" s="2518" t="s">
        <v>1781</v>
      </c>
      <c r="E6" s="2519"/>
      <c r="F6" s="2519"/>
      <c r="G6" s="2520"/>
      <c r="H6" s="2518" t="s">
        <v>774</v>
      </c>
      <c r="I6" s="2519"/>
      <c r="J6" s="2520"/>
    </row>
    <row r="7" spans="1:10" ht="29.25" customHeight="1" x14ac:dyDescent="0.2">
      <c r="A7" s="2524"/>
      <c r="B7" s="2524"/>
      <c r="C7" s="2524"/>
      <c r="D7" s="1382" t="s">
        <v>3</v>
      </c>
      <c r="E7" s="1382" t="s">
        <v>4</v>
      </c>
      <c r="F7" s="1382" t="s">
        <v>747</v>
      </c>
      <c r="G7" s="1382" t="s">
        <v>746</v>
      </c>
      <c r="H7" s="1383" t="s">
        <v>748</v>
      </c>
      <c r="I7" s="1382" t="s">
        <v>747</v>
      </c>
      <c r="J7" s="1382" t="s">
        <v>746</v>
      </c>
    </row>
    <row r="8" spans="1:10" s="3" customFormat="1" ht="17.25" customHeight="1" x14ac:dyDescent="0.2">
      <c r="A8" s="1450"/>
      <c r="B8" s="1385"/>
      <c r="C8" s="2521" t="s">
        <v>2742</v>
      </c>
      <c r="D8" s="2521"/>
      <c r="E8" s="2521"/>
      <c r="F8" s="2521"/>
      <c r="G8" s="2522"/>
      <c r="H8" s="1386">
        <f>+H9+H12+H25+H59+H61+H68+H70+H64</f>
        <v>42182520</v>
      </c>
      <c r="I8" s="2285">
        <f>+I9+I12+I25+I59+I61+I68+I70+I64</f>
        <v>3266231.17</v>
      </c>
      <c r="J8" s="1388">
        <f>I8/H8*100</f>
        <v>7.7430916170963702</v>
      </c>
    </row>
    <row r="9" spans="1:10" ht="18.75" customHeight="1" x14ac:dyDescent="0.2">
      <c r="A9" s="1451" t="s">
        <v>2084</v>
      </c>
      <c r="B9" s="1452"/>
      <c r="C9" s="1419"/>
      <c r="D9" s="1420"/>
      <c r="E9" s="1420"/>
      <c r="F9" s="1420"/>
      <c r="G9" s="1420"/>
      <c r="H9" s="2254">
        <f>SUM(H10:H11)</f>
        <v>637799</v>
      </c>
      <c r="I9" s="1515">
        <f>SUM(I10:I11)</f>
        <v>35604</v>
      </c>
      <c r="J9" s="2255">
        <f>+I9/H9*100</f>
        <v>5.5823229575461859</v>
      </c>
    </row>
    <row r="10" spans="1:10" ht="23.25" customHeight="1" x14ac:dyDescent="0.2">
      <c r="A10" s="1453">
        <v>1</v>
      </c>
      <c r="B10" s="1454" t="s">
        <v>2081</v>
      </c>
      <c r="C10" s="1455" t="s">
        <v>37</v>
      </c>
      <c r="D10" s="1456" t="s">
        <v>2085</v>
      </c>
      <c r="E10" s="1457">
        <v>1</v>
      </c>
      <c r="F10" s="1457">
        <v>0</v>
      </c>
      <c r="G10" s="1479">
        <f>+F10/E10*100</f>
        <v>0</v>
      </c>
      <c r="H10" s="1458">
        <v>115826</v>
      </c>
      <c r="I10" s="2256">
        <v>26283</v>
      </c>
      <c r="J10" s="2257">
        <f t="shared" ref="J10:J11" si="0">(I10/H10)*100</f>
        <v>22.691796315162399</v>
      </c>
    </row>
    <row r="11" spans="1:10" ht="24.75" customHeight="1" x14ac:dyDescent="0.2">
      <c r="A11" s="1453">
        <v>2</v>
      </c>
      <c r="B11" s="1454" t="s">
        <v>2082</v>
      </c>
      <c r="C11" s="1455" t="s">
        <v>37</v>
      </c>
      <c r="D11" s="1459" t="s">
        <v>2083</v>
      </c>
      <c r="E11" s="1457">
        <v>1</v>
      </c>
      <c r="F11" s="1457">
        <v>0</v>
      </c>
      <c r="G11" s="1479">
        <f>+F11/E11*100</f>
        <v>0</v>
      </c>
      <c r="H11" s="1458">
        <v>521973</v>
      </c>
      <c r="I11" s="2258">
        <v>9321</v>
      </c>
      <c r="J11" s="2257">
        <f t="shared" si="0"/>
        <v>1.7857245489709239</v>
      </c>
    </row>
    <row r="12" spans="1:10" ht="19.5" customHeight="1" x14ac:dyDescent="0.2">
      <c r="A12" s="1460" t="s">
        <v>2086</v>
      </c>
      <c r="B12" s="1422"/>
      <c r="C12" s="1421"/>
      <c r="D12" s="1421"/>
      <c r="E12" s="1420"/>
      <c r="F12" s="1420"/>
      <c r="G12" s="2286"/>
      <c r="H12" s="2254">
        <f>+H13+H20</f>
        <v>1469082</v>
      </c>
      <c r="I12" s="1515">
        <f>+I13+I20</f>
        <v>30375</v>
      </c>
      <c r="J12" s="1515">
        <f>+I12/H12*100</f>
        <v>2.0676177367907305</v>
      </c>
    </row>
    <row r="13" spans="1:10" ht="17.25" customHeight="1" x14ac:dyDescent="0.2">
      <c r="A13" s="1427" t="s">
        <v>2087</v>
      </c>
      <c r="B13" s="1461" t="s">
        <v>2088</v>
      </c>
      <c r="C13" s="1462"/>
      <c r="D13" s="1462"/>
      <c r="E13" s="1463"/>
      <c r="F13" s="1463"/>
      <c r="G13" s="1464"/>
      <c r="H13" s="1465">
        <f>+H14</f>
        <v>394082</v>
      </c>
      <c r="I13" s="1463">
        <f>+I14</f>
        <v>4964</v>
      </c>
      <c r="J13" s="1466">
        <f>+I13/H13*100</f>
        <v>1.2596363193447049</v>
      </c>
    </row>
    <row r="14" spans="1:10" ht="26.25" customHeight="1" x14ac:dyDescent="0.2">
      <c r="A14" s="1467" t="s">
        <v>2089</v>
      </c>
      <c r="B14" s="1468" t="s">
        <v>2097</v>
      </c>
      <c r="C14" s="1469"/>
      <c r="D14" s="1469"/>
      <c r="E14" s="1470"/>
      <c r="F14" s="1471"/>
      <c r="G14" s="1472"/>
      <c r="H14" s="1473">
        <f>SUM(H15:H16)</f>
        <v>394082</v>
      </c>
      <c r="I14" s="1474">
        <f>SUM(I15:I16)</f>
        <v>4964</v>
      </c>
      <c r="J14" s="1475">
        <f>+I14/H14*100</f>
        <v>1.2596363193447049</v>
      </c>
    </row>
    <row r="15" spans="1:10" ht="45.75" customHeight="1" x14ac:dyDescent="0.2">
      <c r="A15" s="1402">
        <v>1</v>
      </c>
      <c r="B15" s="1476" t="s">
        <v>2098</v>
      </c>
      <c r="C15" s="1401" t="s">
        <v>349</v>
      </c>
      <c r="D15" s="1477" t="s">
        <v>547</v>
      </c>
      <c r="E15" s="1478">
        <v>1</v>
      </c>
      <c r="F15" s="1431">
        <v>0.2</v>
      </c>
      <c r="G15" s="1479">
        <f>+F15/E15*100</f>
        <v>20</v>
      </c>
      <c r="H15" s="1436">
        <v>0</v>
      </c>
      <c r="I15" s="1431">
        <v>0</v>
      </c>
      <c r="J15" s="1480">
        <v>0</v>
      </c>
    </row>
    <row r="16" spans="1:10" ht="41.25" customHeight="1" x14ac:dyDescent="0.2">
      <c r="A16" s="1402">
        <v>2</v>
      </c>
      <c r="B16" s="1476" t="s">
        <v>2099</v>
      </c>
      <c r="C16" s="1401" t="s">
        <v>525</v>
      </c>
      <c r="D16" s="1477" t="s">
        <v>547</v>
      </c>
      <c r="E16" s="1478">
        <v>1</v>
      </c>
      <c r="F16" s="1431">
        <v>0.2</v>
      </c>
      <c r="G16" s="1479">
        <f>+F16/E16*100</f>
        <v>20</v>
      </c>
      <c r="H16" s="1436">
        <v>394082</v>
      </c>
      <c r="I16" s="1431">
        <v>4964</v>
      </c>
      <c r="J16" s="1480">
        <f>+I16/H16*100</f>
        <v>1.2596363193447049</v>
      </c>
    </row>
    <row r="17" spans="1:10" ht="28.5" customHeight="1" x14ac:dyDescent="0.2">
      <c r="A17" s="1481" t="s">
        <v>2090</v>
      </c>
      <c r="B17" s="1468" t="s">
        <v>2095</v>
      </c>
      <c r="C17" s="1482"/>
      <c r="D17" s="1483"/>
      <c r="E17" s="1484"/>
      <c r="F17" s="1471"/>
      <c r="G17" s="1472"/>
      <c r="H17" s="1473"/>
      <c r="I17" s="1474"/>
      <c r="J17" s="1475"/>
    </row>
    <row r="18" spans="1:10" ht="21" customHeight="1" x14ac:dyDescent="0.2">
      <c r="A18" s="1485">
        <v>1</v>
      </c>
      <c r="B18" s="1476" t="s">
        <v>2091</v>
      </c>
      <c r="C18" s="1401" t="s">
        <v>68</v>
      </c>
      <c r="D18" s="1477" t="s">
        <v>547</v>
      </c>
      <c r="E18" s="1478">
        <v>1</v>
      </c>
      <c r="F18" s="1431">
        <v>0.2</v>
      </c>
      <c r="G18" s="1479">
        <f t="shared" ref="G18:G19" si="1">+F18/E18*100</f>
        <v>20</v>
      </c>
      <c r="H18" s="1431">
        <v>0</v>
      </c>
      <c r="I18" s="1431">
        <v>0</v>
      </c>
      <c r="J18" s="1480">
        <v>0</v>
      </c>
    </row>
    <row r="19" spans="1:10" ht="20.25" customHeight="1" x14ac:dyDescent="0.2">
      <c r="A19" s="1485">
        <v>2</v>
      </c>
      <c r="B19" s="1476" t="s">
        <v>2091</v>
      </c>
      <c r="C19" s="1401" t="s">
        <v>70</v>
      </c>
      <c r="D19" s="1477" t="s">
        <v>547</v>
      </c>
      <c r="E19" s="1478">
        <v>1</v>
      </c>
      <c r="F19" s="1431">
        <v>0.2</v>
      </c>
      <c r="G19" s="1479">
        <f t="shared" si="1"/>
        <v>20</v>
      </c>
      <c r="H19" s="1431">
        <v>0</v>
      </c>
      <c r="I19" s="1431">
        <v>0</v>
      </c>
      <c r="J19" s="1480">
        <v>0</v>
      </c>
    </row>
    <row r="20" spans="1:10" ht="25.5" x14ac:dyDescent="0.2">
      <c r="A20" s="1486" t="s">
        <v>2092</v>
      </c>
      <c r="B20" s="1487" t="s">
        <v>2093</v>
      </c>
      <c r="C20" s="1488"/>
      <c r="D20" s="1488"/>
      <c r="E20" s="1436"/>
      <c r="F20" s="1489"/>
      <c r="G20" s="1464"/>
      <c r="H20" s="1432">
        <f>+H21</f>
        <v>1075000</v>
      </c>
      <c r="I20" s="1463">
        <f>+I21</f>
        <v>25411</v>
      </c>
      <c r="J20" s="1490">
        <f>+I20/H20*100</f>
        <v>2.3638139534883718</v>
      </c>
    </row>
    <row r="21" spans="1:10" ht="25.5" customHeight="1" x14ac:dyDescent="0.2">
      <c r="A21" s="1481" t="s">
        <v>2094</v>
      </c>
      <c r="B21" s="1468" t="s">
        <v>2096</v>
      </c>
      <c r="C21" s="1491"/>
      <c r="D21" s="1491"/>
      <c r="E21" s="1492"/>
      <c r="F21" s="1489"/>
      <c r="G21" s="1472"/>
      <c r="H21" s="1473">
        <f>SUM(H22:H24)</f>
        <v>1075000</v>
      </c>
      <c r="I21" s="1474">
        <f>SUM(I22:I24)</f>
        <v>25411</v>
      </c>
      <c r="J21" s="1475">
        <f>+I21/H21*100</f>
        <v>2.3638139534883718</v>
      </c>
    </row>
    <row r="22" spans="1:10" ht="27" customHeight="1" x14ac:dyDescent="0.2">
      <c r="A22" s="1485">
        <v>1</v>
      </c>
      <c r="B22" s="1476" t="s">
        <v>2102</v>
      </c>
      <c r="C22" s="1401" t="s">
        <v>73</v>
      </c>
      <c r="D22" s="1477" t="s">
        <v>547</v>
      </c>
      <c r="E22" s="1478">
        <v>13</v>
      </c>
      <c r="F22" s="1478">
        <v>13</v>
      </c>
      <c r="G22" s="1479">
        <f t="shared" ref="G22:G24" si="2">+F22/E22*100</f>
        <v>100</v>
      </c>
      <c r="H22" s="1478">
        <v>540000</v>
      </c>
      <c r="I22" s="1431">
        <v>19426</v>
      </c>
      <c r="J22" s="1480">
        <f>+I22/H22*100</f>
        <v>3.5974074074074074</v>
      </c>
    </row>
    <row r="23" spans="1:10" ht="25.5" x14ac:dyDescent="0.2">
      <c r="A23" s="1485">
        <v>2</v>
      </c>
      <c r="B23" s="1476" t="s">
        <v>2101</v>
      </c>
      <c r="C23" s="1401" t="s">
        <v>73</v>
      </c>
      <c r="D23" s="1477" t="s">
        <v>547</v>
      </c>
      <c r="E23" s="1478">
        <v>5</v>
      </c>
      <c r="F23" s="1478">
        <v>2</v>
      </c>
      <c r="G23" s="1479">
        <f t="shared" si="2"/>
        <v>40</v>
      </c>
      <c r="H23" s="1478">
        <v>235000</v>
      </c>
      <c r="I23" s="1431">
        <v>5985</v>
      </c>
      <c r="J23" s="1480">
        <f>+I23/H23*100</f>
        <v>2.5468085106382978</v>
      </c>
    </row>
    <row r="24" spans="1:10" ht="25.5" x14ac:dyDescent="0.2">
      <c r="A24" s="1485">
        <v>1</v>
      </c>
      <c r="B24" s="1476" t="s">
        <v>2100</v>
      </c>
      <c r="C24" s="1401" t="s">
        <v>73</v>
      </c>
      <c r="D24" s="1477" t="s">
        <v>547</v>
      </c>
      <c r="E24" s="1478">
        <v>13</v>
      </c>
      <c r="F24" s="1478">
        <v>0</v>
      </c>
      <c r="G24" s="1480">
        <f t="shared" si="2"/>
        <v>0</v>
      </c>
      <c r="H24" s="1478">
        <v>300000</v>
      </c>
      <c r="I24" s="1431">
        <v>0</v>
      </c>
      <c r="J24" s="1480">
        <f>+I24/H23*100</f>
        <v>0</v>
      </c>
    </row>
    <row r="25" spans="1:10" ht="19.5" customHeight="1" x14ac:dyDescent="0.2">
      <c r="A25" s="1493" t="s">
        <v>2116</v>
      </c>
      <c r="B25" s="1460"/>
      <c r="C25" s="1419"/>
      <c r="D25" s="1420"/>
      <c r="E25" s="1420"/>
      <c r="F25" s="1420"/>
      <c r="G25" s="1420"/>
      <c r="H25" s="2254">
        <f>+H26+H30</f>
        <v>35374006</v>
      </c>
      <c r="I25" s="2259">
        <f>+I26+I30</f>
        <v>2123524.5</v>
      </c>
      <c r="J25" s="1515">
        <f>+I25/H25*100</f>
        <v>6.0030647928312106</v>
      </c>
    </row>
    <row r="26" spans="1:10" ht="18.75" customHeight="1" x14ac:dyDescent="0.2">
      <c r="A26" s="1494"/>
      <c r="B26" s="1495" t="s">
        <v>2103</v>
      </c>
      <c r="C26" s="1496"/>
      <c r="D26" s="1496"/>
      <c r="E26" s="1497"/>
      <c r="F26" s="1497"/>
      <c r="G26" s="1497"/>
      <c r="H26" s="1498">
        <f>SUM(H27:H29)</f>
        <v>5034782</v>
      </c>
      <c r="I26" s="1615">
        <f>SUM(I27:I29)</f>
        <v>1744496.86</v>
      </c>
      <c r="J26" s="1499">
        <f>+I26/H26*100</f>
        <v>34.648905553408269</v>
      </c>
    </row>
    <row r="27" spans="1:10" ht="25.5" x14ac:dyDescent="0.2">
      <c r="A27" s="1500">
        <v>1</v>
      </c>
      <c r="B27" s="1501" t="s">
        <v>2104</v>
      </c>
      <c r="C27" s="1502" t="s">
        <v>68</v>
      </c>
      <c r="D27" s="1428" t="s">
        <v>2105</v>
      </c>
      <c r="E27" s="1478">
        <v>1</v>
      </c>
      <c r="F27" s="1478">
        <v>0</v>
      </c>
      <c r="G27" s="1403">
        <f t="shared" ref="G27" si="3">+F27/E27*100</f>
        <v>0</v>
      </c>
      <c r="H27" s="1478">
        <v>0</v>
      </c>
      <c r="I27" s="1431">
        <v>0</v>
      </c>
      <c r="J27" s="1403">
        <v>0</v>
      </c>
    </row>
    <row r="28" spans="1:10" ht="41.25" customHeight="1" x14ac:dyDescent="0.2">
      <c r="A28" s="1500">
        <v>2</v>
      </c>
      <c r="B28" s="1501" t="s">
        <v>2106</v>
      </c>
      <c r="C28" s="1502" t="s">
        <v>188</v>
      </c>
      <c r="D28" s="1428" t="s">
        <v>57</v>
      </c>
      <c r="E28" s="1429">
        <v>1</v>
      </c>
      <c r="F28" s="1429">
        <v>0.5</v>
      </c>
      <c r="G28" s="1430">
        <f>+F28/E28*100</f>
        <v>50</v>
      </c>
      <c r="H28" s="1478">
        <v>34782</v>
      </c>
      <c r="I28" s="1431">
        <v>0</v>
      </c>
      <c r="J28" s="1403">
        <f t="shared" ref="J28:J59" si="4">+I28/H28*100</f>
        <v>0</v>
      </c>
    </row>
    <row r="29" spans="1:10" ht="20.25" customHeight="1" x14ac:dyDescent="0.2">
      <c r="A29" s="1500">
        <v>3</v>
      </c>
      <c r="B29" s="1503" t="s">
        <v>2107</v>
      </c>
      <c r="C29" s="1401" t="s">
        <v>37</v>
      </c>
      <c r="D29" s="1428" t="s">
        <v>708</v>
      </c>
      <c r="E29" s="1429">
        <v>1</v>
      </c>
      <c r="F29" s="1429">
        <v>0.35</v>
      </c>
      <c r="G29" s="1430">
        <f>+F29/E29*100</f>
        <v>35</v>
      </c>
      <c r="H29" s="1504">
        <v>5000000</v>
      </c>
      <c r="I29" s="1511">
        <v>1744496.86</v>
      </c>
      <c r="J29" s="1403">
        <f t="shared" si="4"/>
        <v>34.889937200000006</v>
      </c>
    </row>
    <row r="30" spans="1:10" ht="18.75" customHeight="1" x14ac:dyDescent="0.2">
      <c r="A30" s="1505"/>
      <c r="B30" s="1487" t="s">
        <v>730</v>
      </c>
      <c r="C30" s="1488"/>
      <c r="D30" s="1488"/>
      <c r="E30" s="1506"/>
      <c r="F30" s="1506"/>
      <c r="G30" s="1506"/>
      <c r="H30" s="1432">
        <f>SUM(H31:H58)</f>
        <v>30339224</v>
      </c>
      <c r="I30" s="1433">
        <f>SUM(I31:I58)</f>
        <v>379027.64000000007</v>
      </c>
      <c r="J30" s="1463">
        <f t="shared" si="4"/>
        <v>1.2492990591980864</v>
      </c>
    </row>
    <row r="31" spans="1:10" ht="25.5" x14ac:dyDescent="0.2">
      <c r="A31" s="1500">
        <v>1</v>
      </c>
      <c r="B31" s="1507" t="s">
        <v>2108</v>
      </c>
      <c r="C31" s="1401" t="s">
        <v>186</v>
      </c>
      <c r="D31" s="1401" t="s">
        <v>178</v>
      </c>
      <c r="E31" s="1508">
        <v>1</v>
      </c>
      <c r="F31" s="1508">
        <v>1</v>
      </c>
      <c r="G31" s="1430">
        <f t="shared" ref="G31:G53" si="5">+F31/E31*100</f>
        <v>100</v>
      </c>
      <c r="H31" s="1478">
        <v>9951</v>
      </c>
      <c r="I31" s="1431">
        <v>0</v>
      </c>
      <c r="J31" s="1403">
        <f t="shared" si="4"/>
        <v>0</v>
      </c>
    </row>
    <row r="32" spans="1:10" ht="27" customHeight="1" x14ac:dyDescent="0.2">
      <c r="A32" s="1500">
        <v>2</v>
      </c>
      <c r="B32" s="1507" t="s">
        <v>2109</v>
      </c>
      <c r="C32" s="1401" t="s">
        <v>186</v>
      </c>
      <c r="D32" s="1401" t="s">
        <v>732</v>
      </c>
      <c r="E32" s="1508">
        <v>1</v>
      </c>
      <c r="F32" s="1508">
        <v>1</v>
      </c>
      <c r="G32" s="1430">
        <f t="shared" si="5"/>
        <v>100</v>
      </c>
      <c r="H32" s="1478">
        <v>39375</v>
      </c>
      <c r="I32" s="1431">
        <v>0</v>
      </c>
      <c r="J32" s="1403">
        <f t="shared" si="4"/>
        <v>0</v>
      </c>
    </row>
    <row r="33" spans="1:10" ht="38.25" x14ac:dyDescent="0.2">
      <c r="A33" s="1500">
        <v>3</v>
      </c>
      <c r="B33" s="1507" t="s">
        <v>2505</v>
      </c>
      <c r="C33" s="1401" t="s">
        <v>37</v>
      </c>
      <c r="D33" s="1401" t="s">
        <v>178</v>
      </c>
      <c r="E33" s="1508">
        <v>1</v>
      </c>
      <c r="F33" s="1508">
        <v>1</v>
      </c>
      <c r="G33" s="1430">
        <f t="shared" si="5"/>
        <v>100</v>
      </c>
      <c r="H33" s="1478">
        <v>25943</v>
      </c>
      <c r="I33" s="1431">
        <v>0</v>
      </c>
      <c r="J33" s="1403">
        <f t="shared" si="4"/>
        <v>0</v>
      </c>
    </row>
    <row r="34" spans="1:10" ht="26.25" customHeight="1" x14ac:dyDescent="0.2">
      <c r="A34" s="1500">
        <v>4</v>
      </c>
      <c r="B34" s="1507" t="s">
        <v>2110</v>
      </c>
      <c r="C34" s="1401" t="s">
        <v>37</v>
      </c>
      <c r="D34" s="1401" t="s">
        <v>568</v>
      </c>
      <c r="E34" s="1508">
        <v>1</v>
      </c>
      <c r="F34" s="1508">
        <v>1</v>
      </c>
      <c r="G34" s="1430">
        <f t="shared" si="5"/>
        <v>100</v>
      </c>
      <c r="H34" s="1478">
        <v>3743.19</v>
      </c>
      <c r="I34" s="1431">
        <v>0</v>
      </c>
      <c r="J34" s="1403">
        <f t="shared" si="4"/>
        <v>0</v>
      </c>
    </row>
    <row r="35" spans="1:10" ht="25.5" x14ac:dyDescent="0.2">
      <c r="A35" s="1500">
        <v>5</v>
      </c>
      <c r="B35" s="1507" t="s">
        <v>2126</v>
      </c>
      <c r="C35" s="1401" t="s">
        <v>37</v>
      </c>
      <c r="D35" s="1401" t="s">
        <v>732</v>
      </c>
      <c r="E35" s="1508">
        <v>1</v>
      </c>
      <c r="F35" s="1508">
        <v>1</v>
      </c>
      <c r="G35" s="1430">
        <f t="shared" si="5"/>
        <v>100</v>
      </c>
      <c r="H35" s="1478">
        <v>43995.81</v>
      </c>
      <c r="I35" s="1431">
        <v>0</v>
      </c>
      <c r="J35" s="1403">
        <f t="shared" si="4"/>
        <v>0</v>
      </c>
    </row>
    <row r="36" spans="1:10" ht="38.25" x14ac:dyDescent="0.2">
      <c r="A36" s="1500">
        <v>6</v>
      </c>
      <c r="B36" s="1507" t="s">
        <v>2111</v>
      </c>
      <c r="C36" s="1401" t="s">
        <v>720</v>
      </c>
      <c r="D36" s="1401" t="s">
        <v>568</v>
      </c>
      <c r="E36" s="1508">
        <v>1</v>
      </c>
      <c r="F36" s="1508">
        <v>1</v>
      </c>
      <c r="G36" s="1430">
        <f t="shared" si="5"/>
        <v>100</v>
      </c>
      <c r="H36" s="1478">
        <v>7278</v>
      </c>
      <c r="I36" s="1431">
        <v>0</v>
      </c>
      <c r="J36" s="1403">
        <f t="shared" si="4"/>
        <v>0</v>
      </c>
    </row>
    <row r="37" spans="1:10" ht="39" customHeight="1" x14ac:dyDescent="0.2">
      <c r="A37" s="1500">
        <v>7</v>
      </c>
      <c r="B37" s="1507" t="s">
        <v>2117</v>
      </c>
      <c r="C37" s="1401" t="s">
        <v>70</v>
      </c>
      <c r="D37" s="1401" t="s">
        <v>568</v>
      </c>
      <c r="E37" s="1508">
        <v>1</v>
      </c>
      <c r="F37" s="1508">
        <v>1</v>
      </c>
      <c r="G37" s="1430">
        <f t="shared" si="5"/>
        <v>100</v>
      </c>
      <c r="H37" s="1478">
        <v>7662</v>
      </c>
      <c r="I37" s="1431">
        <v>0</v>
      </c>
      <c r="J37" s="1403">
        <f t="shared" si="4"/>
        <v>0</v>
      </c>
    </row>
    <row r="38" spans="1:10" ht="39" customHeight="1" x14ac:dyDescent="0.2">
      <c r="A38" s="1500">
        <v>8</v>
      </c>
      <c r="B38" s="1507" t="s">
        <v>2118</v>
      </c>
      <c r="C38" s="1401" t="s">
        <v>70</v>
      </c>
      <c r="D38" s="1401" t="s">
        <v>732</v>
      </c>
      <c r="E38" s="1508">
        <v>1</v>
      </c>
      <c r="F38" s="1508">
        <v>1</v>
      </c>
      <c r="G38" s="1430">
        <f t="shared" si="5"/>
        <v>100</v>
      </c>
      <c r="H38" s="1478">
        <v>11494</v>
      </c>
      <c r="I38" s="1431">
        <v>0</v>
      </c>
      <c r="J38" s="1403">
        <f t="shared" si="4"/>
        <v>0</v>
      </c>
    </row>
    <row r="39" spans="1:10" ht="53.25" customHeight="1" x14ac:dyDescent="0.2">
      <c r="A39" s="1500">
        <v>9</v>
      </c>
      <c r="B39" s="1507" t="s">
        <v>2112</v>
      </c>
      <c r="C39" s="1401" t="s">
        <v>735</v>
      </c>
      <c r="D39" s="1401" t="s">
        <v>732</v>
      </c>
      <c r="E39" s="1508">
        <v>1</v>
      </c>
      <c r="F39" s="1508">
        <v>1</v>
      </c>
      <c r="G39" s="1430">
        <f t="shared" si="5"/>
        <v>100</v>
      </c>
      <c r="H39" s="1478">
        <v>27946747</v>
      </c>
      <c r="I39" s="1431">
        <v>0</v>
      </c>
      <c r="J39" s="1403">
        <f t="shared" si="4"/>
        <v>0</v>
      </c>
    </row>
    <row r="40" spans="1:10" ht="25.5" x14ac:dyDescent="0.2">
      <c r="A40" s="1500">
        <v>10</v>
      </c>
      <c r="B40" s="1509" t="s">
        <v>2113</v>
      </c>
      <c r="C40" s="1401" t="s">
        <v>188</v>
      </c>
      <c r="D40" s="1401" t="s">
        <v>568</v>
      </c>
      <c r="E40" s="1508">
        <v>1</v>
      </c>
      <c r="F40" s="1508">
        <v>1</v>
      </c>
      <c r="G40" s="1430">
        <f t="shared" si="5"/>
        <v>100</v>
      </c>
      <c r="H40" s="1478">
        <v>13940</v>
      </c>
      <c r="I40" s="1431">
        <v>0</v>
      </c>
      <c r="J40" s="1403">
        <f t="shared" si="4"/>
        <v>0</v>
      </c>
    </row>
    <row r="41" spans="1:10" ht="38.25" x14ac:dyDescent="0.2">
      <c r="A41" s="1500">
        <v>11</v>
      </c>
      <c r="B41" s="1507" t="s">
        <v>2128</v>
      </c>
      <c r="C41" s="1401" t="s">
        <v>350</v>
      </c>
      <c r="D41" s="1401" t="s">
        <v>568</v>
      </c>
      <c r="E41" s="1508">
        <v>1</v>
      </c>
      <c r="F41" s="1508">
        <v>1</v>
      </c>
      <c r="G41" s="1430">
        <f t="shared" si="5"/>
        <v>100</v>
      </c>
      <c r="H41" s="1478">
        <v>392</v>
      </c>
      <c r="I41" s="1431">
        <v>0</v>
      </c>
      <c r="J41" s="1403">
        <f t="shared" si="4"/>
        <v>0</v>
      </c>
    </row>
    <row r="42" spans="1:10" ht="54.75" customHeight="1" x14ac:dyDescent="0.2">
      <c r="A42" s="1500">
        <v>12</v>
      </c>
      <c r="B42" s="1507" t="s">
        <v>2119</v>
      </c>
      <c r="C42" s="1401" t="s">
        <v>525</v>
      </c>
      <c r="D42" s="1401" t="s">
        <v>732</v>
      </c>
      <c r="E42" s="1508">
        <v>1</v>
      </c>
      <c r="F42" s="1508">
        <v>1</v>
      </c>
      <c r="G42" s="1430">
        <f t="shared" si="5"/>
        <v>100</v>
      </c>
      <c r="H42" s="1478">
        <v>218506</v>
      </c>
      <c r="I42" s="1431">
        <v>109384.82</v>
      </c>
      <c r="J42" s="1403">
        <f t="shared" si="4"/>
        <v>50.06032786285045</v>
      </c>
    </row>
    <row r="43" spans="1:10" ht="38.25" x14ac:dyDescent="0.2">
      <c r="A43" s="1500">
        <v>13</v>
      </c>
      <c r="B43" s="1510" t="s">
        <v>2114</v>
      </c>
      <c r="C43" s="1401" t="s">
        <v>37</v>
      </c>
      <c r="D43" s="1401" t="s">
        <v>568</v>
      </c>
      <c r="E43" s="1508">
        <v>1</v>
      </c>
      <c r="F43" s="1508">
        <v>0.9</v>
      </c>
      <c r="G43" s="1430">
        <f t="shared" si="5"/>
        <v>90</v>
      </c>
      <c r="H43" s="1404">
        <v>11645</v>
      </c>
      <c r="I43" s="1403">
        <v>0</v>
      </c>
      <c r="J43" s="1403">
        <f t="shared" si="4"/>
        <v>0</v>
      </c>
    </row>
    <row r="44" spans="1:10" ht="38.25" x14ac:dyDescent="0.2">
      <c r="A44" s="1500">
        <v>14</v>
      </c>
      <c r="B44" s="1507" t="s">
        <v>2115</v>
      </c>
      <c r="C44" s="1401" t="s">
        <v>37</v>
      </c>
      <c r="D44" s="1401" t="s">
        <v>732</v>
      </c>
      <c r="E44" s="1508">
        <v>1</v>
      </c>
      <c r="F44" s="1508">
        <v>0.5</v>
      </c>
      <c r="G44" s="1430">
        <f t="shared" si="5"/>
        <v>50</v>
      </c>
      <c r="H44" s="1478">
        <v>116382</v>
      </c>
      <c r="I44" s="1431">
        <v>99179.03</v>
      </c>
      <c r="J44" s="1403">
        <f t="shared" si="4"/>
        <v>85.218530356928042</v>
      </c>
    </row>
    <row r="45" spans="1:10" ht="38.25" x14ac:dyDescent="0.2">
      <c r="A45" s="1500">
        <v>15</v>
      </c>
      <c r="B45" s="1507" t="s">
        <v>2127</v>
      </c>
      <c r="C45" s="1401" t="s">
        <v>188</v>
      </c>
      <c r="D45" s="1401" t="s">
        <v>733</v>
      </c>
      <c r="E45" s="1508">
        <v>1</v>
      </c>
      <c r="F45" s="1508">
        <v>1</v>
      </c>
      <c r="G45" s="1430">
        <f t="shared" si="5"/>
        <v>100</v>
      </c>
      <c r="H45" s="1478">
        <v>6500</v>
      </c>
      <c r="I45" s="1431">
        <v>0</v>
      </c>
      <c r="J45" s="1403">
        <f t="shared" si="4"/>
        <v>0</v>
      </c>
    </row>
    <row r="46" spans="1:10" ht="38.25" x14ac:dyDescent="0.2">
      <c r="A46" s="1500">
        <v>16</v>
      </c>
      <c r="B46" s="1507" t="s">
        <v>2121</v>
      </c>
      <c r="C46" s="1401" t="s">
        <v>187</v>
      </c>
      <c r="D46" s="1401" t="s">
        <v>732</v>
      </c>
      <c r="E46" s="1508">
        <v>1</v>
      </c>
      <c r="F46" s="1508">
        <v>1</v>
      </c>
      <c r="G46" s="1430">
        <f t="shared" si="5"/>
        <v>100</v>
      </c>
      <c r="H46" s="1478">
        <v>47568</v>
      </c>
      <c r="I46" s="1431">
        <v>22532.01</v>
      </c>
      <c r="J46" s="1403">
        <f t="shared" si="4"/>
        <v>47.367999495459131</v>
      </c>
    </row>
    <row r="47" spans="1:10" ht="27.75" customHeight="1" x14ac:dyDescent="0.2">
      <c r="A47" s="1500">
        <v>17</v>
      </c>
      <c r="B47" s="1507" t="s">
        <v>2506</v>
      </c>
      <c r="C47" s="1401" t="s">
        <v>187</v>
      </c>
      <c r="D47" s="1401" t="s">
        <v>732</v>
      </c>
      <c r="E47" s="1508">
        <v>1</v>
      </c>
      <c r="F47" s="1508">
        <v>0.5</v>
      </c>
      <c r="G47" s="1430">
        <f t="shared" si="5"/>
        <v>50</v>
      </c>
      <c r="H47" s="1478">
        <v>31706</v>
      </c>
      <c r="I47" s="1431">
        <v>31705.54</v>
      </c>
      <c r="J47" s="1403">
        <f t="shared" si="4"/>
        <v>99.998549170504006</v>
      </c>
    </row>
    <row r="48" spans="1:10" ht="39.75" customHeight="1" x14ac:dyDescent="0.2">
      <c r="A48" s="1500">
        <v>18</v>
      </c>
      <c r="B48" s="1507" t="s">
        <v>2129</v>
      </c>
      <c r="C48" s="1401" t="s">
        <v>735</v>
      </c>
      <c r="D48" s="1401" t="s">
        <v>732</v>
      </c>
      <c r="E48" s="1508">
        <v>1</v>
      </c>
      <c r="F48" s="1508">
        <v>0.7</v>
      </c>
      <c r="G48" s="1430">
        <f t="shared" si="5"/>
        <v>70</v>
      </c>
      <c r="H48" s="1478">
        <v>19000</v>
      </c>
      <c r="I48" s="1431">
        <v>0</v>
      </c>
      <c r="J48" s="1403">
        <f t="shared" si="4"/>
        <v>0</v>
      </c>
    </row>
    <row r="49" spans="1:10" ht="40.5" customHeight="1" x14ac:dyDescent="0.2">
      <c r="A49" s="1500">
        <v>19</v>
      </c>
      <c r="B49" s="1507" t="s">
        <v>2120</v>
      </c>
      <c r="C49" s="1401" t="s">
        <v>37</v>
      </c>
      <c r="D49" s="1401" t="s">
        <v>732</v>
      </c>
      <c r="E49" s="1508">
        <v>1</v>
      </c>
      <c r="F49" s="1508">
        <v>1</v>
      </c>
      <c r="G49" s="1430">
        <f t="shared" si="5"/>
        <v>100</v>
      </c>
      <c r="H49" s="1478">
        <v>18310</v>
      </c>
      <c r="I49" s="1431">
        <v>18309.77</v>
      </c>
      <c r="J49" s="1403">
        <f t="shared" si="4"/>
        <v>99.9987438558165</v>
      </c>
    </row>
    <row r="50" spans="1:10" ht="28.5" customHeight="1" x14ac:dyDescent="0.2">
      <c r="A50" s="1500">
        <v>20</v>
      </c>
      <c r="B50" s="1509" t="s">
        <v>2507</v>
      </c>
      <c r="C50" s="1502" t="s">
        <v>720</v>
      </c>
      <c r="D50" s="1401" t="s">
        <v>732</v>
      </c>
      <c r="E50" s="1508">
        <v>1</v>
      </c>
      <c r="F50" s="1429">
        <v>1</v>
      </c>
      <c r="G50" s="1430">
        <f t="shared" si="5"/>
        <v>100</v>
      </c>
      <c r="H50" s="1504">
        <v>105450</v>
      </c>
      <c r="I50" s="1511">
        <v>11153.39</v>
      </c>
      <c r="J50" s="1403">
        <f t="shared" si="4"/>
        <v>10.576946420104315</v>
      </c>
    </row>
    <row r="51" spans="1:10" ht="53.25" customHeight="1" x14ac:dyDescent="0.2">
      <c r="A51" s="1500">
        <v>21</v>
      </c>
      <c r="B51" s="1509" t="s">
        <v>2132</v>
      </c>
      <c r="C51" s="1502" t="s">
        <v>188</v>
      </c>
      <c r="D51" s="1401" t="s">
        <v>732</v>
      </c>
      <c r="E51" s="1508">
        <v>1</v>
      </c>
      <c r="F51" s="1508">
        <v>0</v>
      </c>
      <c r="G51" s="1430">
        <f t="shared" si="5"/>
        <v>0</v>
      </c>
      <c r="H51" s="1504">
        <v>336077</v>
      </c>
      <c r="I51" s="1511">
        <v>0</v>
      </c>
      <c r="J51" s="1403">
        <f t="shared" si="4"/>
        <v>0</v>
      </c>
    </row>
    <row r="52" spans="1:10" ht="52.5" customHeight="1" x14ac:dyDescent="0.2">
      <c r="A52" s="1500">
        <v>22</v>
      </c>
      <c r="B52" s="1509" t="s">
        <v>2131</v>
      </c>
      <c r="C52" s="1502" t="s">
        <v>186</v>
      </c>
      <c r="D52" s="1401" t="s">
        <v>732</v>
      </c>
      <c r="E52" s="1508">
        <v>1</v>
      </c>
      <c r="F52" s="1508">
        <v>0</v>
      </c>
      <c r="G52" s="1430">
        <f t="shared" si="5"/>
        <v>0</v>
      </c>
      <c r="H52" s="1504">
        <v>466853</v>
      </c>
      <c r="I52" s="1511">
        <v>0</v>
      </c>
      <c r="J52" s="1403">
        <f t="shared" si="4"/>
        <v>0</v>
      </c>
    </row>
    <row r="53" spans="1:10" ht="29.25" customHeight="1" x14ac:dyDescent="0.2">
      <c r="A53" s="1500">
        <v>23</v>
      </c>
      <c r="B53" s="1509" t="s">
        <v>2125</v>
      </c>
      <c r="C53" s="1502" t="s">
        <v>37</v>
      </c>
      <c r="D53" s="1401" t="s">
        <v>732</v>
      </c>
      <c r="E53" s="1508">
        <v>1</v>
      </c>
      <c r="F53" s="1508">
        <v>0</v>
      </c>
      <c r="G53" s="1430">
        <f t="shared" si="5"/>
        <v>0</v>
      </c>
      <c r="H53" s="1504">
        <v>12000</v>
      </c>
      <c r="I53" s="1511">
        <v>0</v>
      </c>
      <c r="J53" s="1403">
        <f t="shared" si="4"/>
        <v>0</v>
      </c>
    </row>
    <row r="54" spans="1:10" ht="29.25" customHeight="1" x14ac:dyDescent="0.2">
      <c r="A54" s="1500">
        <v>24</v>
      </c>
      <c r="B54" s="1509" t="s">
        <v>2133</v>
      </c>
      <c r="C54" s="1502" t="s">
        <v>37</v>
      </c>
      <c r="D54" s="1401" t="s">
        <v>732</v>
      </c>
      <c r="E54" s="1508">
        <v>1</v>
      </c>
      <c r="F54" s="1508">
        <v>0.5</v>
      </c>
      <c r="G54" s="1403">
        <f t="shared" ref="G54:G57" si="6">+F54/E54*100</f>
        <v>50</v>
      </c>
      <c r="H54" s="1504">
        <v>388404</v>
      </c>
      <c r="I54" s="1511">
        <v>83463.08</v>
      </c>
      <c r="J54" s="1403">
        <f t="shared" si="4"/>
        <v>21.488728231429128</v>
      </c>
    </row>
    <row r="55" spans="1:10" ht="38.25" x14ac:dyDescent="0.2">
      <c r="A55" s="1500">
        <v>25</v>
      </c>
      <c r="B55" s="1509" t="s">
        <v>2124</v>
      </c>
      <c r="C55" s="1502" t="s">
        <v>525</v>
      </c>
      <c r="D55" s="1401" t="s">
        <v>732</v>
      </c>
      <c r="E55" s="1508">
        <v>1</v>
      </c>
      <c r="F55" s="1508">
        <v>0</v>
      </c>
      <c r="G55" s="1430">
        <f t="shared" si="6"/>
        <v>0</v>
      </c>
      <c r="H55" s="1504">
        <v>391199</v>
      </c>
      <c r="I55" s="1511">
        <v>0</v>
      </c>
      <c r="J55" s="1403">
        <f t="shared" si="4"/>
        <v>0</v>
      </c>
    </row>
    <row r="56" spans="1:10" ht="27.75" customHeight="1" x14ac:dyDescent="0.2">
      <c r="A56" s="1500">
        <v>26</v>
      </c>
      <c r="B56" s="1509" t="s">
        <v>2123</v>
      </c>
      <c r="C56" s="1502" t="s">
        <v>720</v>
      </c>
      <c r="D56" s="1401" t="s">
        <v>732</v>
      </c>
      <c r="E56" s="1508">
        <v>1</v>
      </c>
      <c r="F56" s="1508">
        <v>0</v>
      </c>
      <c r="G56" s="1430">
        <f t="shared" si="6"/>
        <v>0</v>
      </c>
      <c r="H56" s="1504">
        <v>6753</v>
      </c>
      <c r="I56" s="1512">
        <v>0</v>
      </c>
      <c r="J56" s="1403">
        <f t="shared" si="4"/>
        <v>0</v>
      </c>
    </row>
    <row r="57" spans="1:10" ht="27.75" customHeight="1" x14ac:dyDescent="0.2">
      <c r="A57" s="1500">
        <v>27</v>
      </c>
      <c r="B57" s="1509" t="s">
        <v>2122</v>
      </c>
      <c r="C57" s="1502" t="s">
        <v>37</v>
      </c>
      <c r="D57" s="1401" t="s">
        <v>732</v>
      </c>
      <c r="E57" s="1508">
        <v>1</v>
      </c>
      <c r="F57" s="1508">
        <v>0</v>
      </c>
      <c r="G57" s="1430">
        <f t="shared" si="6"/>
        <v>0</v>
      </c>
      <c r="H57" s="1504">
        <v>21750</v>
      </c>
      <c r="I57" s="1512">
        <v>0</v>
      </c>
      <c r="J57" s="1403">
        <f t="shared" si="4"/>
        <v>0</v>
      </c>
    </row>
    <row r="58" spans="1:10" ht="25.5" x14ac:dyDescent="0.2">
      <c r="A58" s="1500">
        <v>28</v>
      </c>
      <c r="B58" s="1507" t="s">
        <v>2134</v>
      </c>
      <c r="C58" s="1401" t="s">
        <v>37</v>
      </c>
      <c r="D58" s="1513" t="s">
        <v>736</v>
      </c>
      <c r="E58" s="1508">
        <v>1</v>
      </c>
      <c r="F58" s="1514">
        <v>0.1</v>
      </c>
      <c r="G58" s="1514">
        <f>+F58/E58*100</f>
        <v>10</v>
      </c>
      <c r="H58" s="1478">
        <v>30600</v>
      </c>
      <c r="I58" s="1431">
        <v>3300</v>
      </c>
      <c r="J58" s="1403">
        <f t="shared" si="4"/>
        <v>10.784313725490197</v>
      </c>
    </row>
    <row r="59" spans="1:10" ht="18.75" customHeight="1" x14ac:dyDescent="0.2">
      <c r="A59" s="2222" t="s">
        <v>1172</v>
      </c>
      <c r="B59" s="75"/>
      <c r="C59" s="2223"/>
      <c r="D59" s="2223"/>
      <c r="E59" s="2223"/>
      <c r="F59" s="2224"/>
      <c r="G59" s="2225"/>
      <c r="H59" s="2254">
        <f>+H60</f>
        <v>170607</v>
      </c>
      <c r="I59" s="1515">
        <f>+I60</f>
        <v>52010.239999999998</v>
      </c>
      <c r="J59" s="1515">
        <f t="shared" si="4"/>
        <v>30.485407984432054</v>
      </c>
    </row>
    <row r="60" spans="1:10" ht="21.75" customHeight="1" x14ac:dyDescent="0.2">
      <c r="A60" s="1394">
        <v>1</v>
      </c>
      <c r="B60" s="1476" t="s">
        <v>2130</v>
      </c>
      <c r="C60" s="1502" t="s">
        <v>37</v>
      </c>
      <c r="D60" s="1401" t="s">
        <v>732</v>
      </c>
      <c r="E60" s="2226">
        <v>12</v>
      </c>
      <c r="F60" s="1429">
        <v>6</v>
      </c>
      <c r="G60" s="1514">
        <f>+F60/E60*100</f>
        <v>50</v>
      </c>
      <c r="H60" s="1478">
        <v>170607</v>
      </c>
      <c r="I60" s="1431">
        <v>52010.239999999998</v>
      </c>
      <c r="J60" s="1480">
        <f t="shared" ref="J60" si="7">I60/H60*100</f>
        <v>30.485407984432054</v>
      </c>
    </row>
    <row r="61" spans="1:10" ht="21.75" customHeight="1" x14ac:dyDescent="0.2">
      <c r="A61" s="2222" t="s">
        <v>377</v>
      </c>
      <c r="B61" s="2227"/>
      <c r="C61" s="2228"/>
      <c r="D61" s="2228"/>
      <c r="E61" s="2228"/>
      <c r="F61" s="2229"/>
      <c r="G61" s="2230"/>
      <c r="H61" s="2254">
        <f>SUM(H62:H63)</f>
        <v>839573</v>
      </c>
      <c r="I61" s="1515">
        <f>SUM(I62:I63)</f>
        <v>561912.02</v>
      </c>
      <c r="J61" s="1515">
        <f>+I61/H61*100</f>
        <v>66.928309986147724</v>
      </c>
    </row>
    <row r="62" spans="1:10" ht="25.5" customHeight="1" x14ac:dyDescent="0.2">
      <c r="A62" s="1393">
        <v>1</v>
      </c>
      <c r="B62" s="1476" t="s">
        <v>2759</v>
      </c>
      <c r="C62" s="1517" t="s">
        <v>527</v>
      </c>
      <c r="D62" s="1401" t="s">
        <v>709</v>
      </c>
      <c r="E62" s="1518">
        <v>6</v>
      </c>
      <c r="F62" s="1519">
        <v>4</v>
      </c>
      <c r="G62" s="1403">
        <f t="shared" ref="G62:G63" si="8">+F62/E62*100</f>
        <v>66.666666666666657</v>
      </c>
      <c r="H62" s="1402">
        <v>678974</v>
      </c>
      <c r="I62" s="1438">
        <v>453807.02</v>
      </c>
      <c r="J62" s="1438">
        <f>+I62/H62*100</f>
        <v>66.837171968293347</v>
      </c>
    </row>
    <row r="63" spans="1:10" ht="30" customHeight="1" x14ac:dyDescent="0.2">
      <c r="A63" s="1393">
        <v>2</v>
      </c>
      <c r="B63" s="1476" t="s">
        <v>2044</v>
      </c>
      <c r="C63" s="1517" t="s">
        <v>527</v>
      </c>
      <c r="D63" s="1401" t="s">
        <v>2756</v>
      </c>
      <c r="E63" s="1518">
        <v>14</v>
      </c>
      <c r="F63" s="1519">
        <v>10</v>
      </c>
      <c r="G63" s="1403">
        <f t="shared" si="8"/>
        <v>71.428571428571431</v>
      </c>
      <c r="H63" s="1402">
        <v>160599</v>
      </c>
      <c r="I63" s="1438">
        <v>108105</v>
      </c>
      <c r="J63" s="1438">
        <f>+I63/H63*100</f>
        <v>67.31361963648591</v>
      </c>
    </row>
    <row r="64" spans="1:10" ht="21.75" customHeight="1" x14ac:dyDescent="0.2">
      <c r="A64" s="2222" t="s">
        <v>2791</v>
      </c>
      <c r="B64" s="2227"/>
      <c r="C64" s="2228"/>
      <c r="D64" s="2228"/>
      <c r="E64" s="2228"/>
      <c r="F64" s="2229"/>
      <c r="G64" s="2230"/>
      <c r="H64" s="2254">
        <f>SUM(H65:H67)</f>
        <v>1558036</v>
      </c>
      <c r="I64" s="1515">
        <f>SUM(I65:I67)</f>
        <v>360125</v>
      </c>
      <c r="J64" s="1515">
        <f t="shared" ref="J64" si="9">+I64/H64*100</f>
        <v>23.114035875936114</v>
      </c>
    </row>
    <row r="65" spans="1:10" ht="21.75" customHeight="1" x14ac:dyDescent="0.2">
      <c r="A65" s="1271">
        <v>1</v>
      </c>
      <c r="B65" s="2041" t="s">
        <v>2043</v>
      </c>
      <c r="C65" s="1274" t="s">
        <v>32</v>
      </c>
      <c r="D65" s="2042" t="s">
        <v>1982</v>
      </c>
      <c r="E65" s="1232">
        <v>10</v>
      </c>
      <c r="F65" s="1232">
        <v>3</v>
      </c>
      <c r="G65" s="1277">
        <f>+F65*100/10</f>
        <v>30</v>
      </c>
      <c r="H65" s="1275">
        <v>1313666</v>
      </c>
      <c r="I65" s="1295">
        <v>303856</v>
      </c>
      <c r="J65" s="1295">
        <f>+I65/H65*100</f>
        <v>23.13038474010898</v>
      </c>
    </row>
    <row r="66" spans="1:10" ht="21.75" customHeight="1" x14ac:dyDescent="0.2">
      <c r="A66" s="1271">
        <v>2</v>
      </c>
      <c r="B66" s="2041" t="s">
        <v>1736</v>
      </c>
      <c r="C66" s="1274" t="s">
        <v>32</v>
      </c>
      <c r="D66" s="2042" t="s">
        <v>181</v>
      </c>
      <c r="E66" s="1232">
        <v>5</v>
      </c>
      <c r="F66" s="1232">
        <v>2</v>
      </c>
      <c r="G66" s="1277">
        <f>+F66*100/E66</f>
        <v>40</v>
      </c>
      <c r="H66" s="1275">
        <v>144370</v>
      </c>
      <c r="I66" s="1295">
        <v>55693</v>
      </c>
      <c r="J66" s="1295">
        <f>+I66/H66*100</f>
        <v>38.576574080487639</v>
      </c>
    </row>
    <row r="67" spans="1:10" ht="21.75" customHeight="1" x14ac:dyDescent="0.2">
      <c r="A67" s="1271">
        <v>3</v>
      </c>
      <c r="B67" s="2041" t="s">
        <v>2044</v>
      </c>
      <c r="C67" s="1274" t="s">
        <v>32</v>
      </c>
      <c r="D67" s="2042" t="s">
        <v>181</v>
      </c>
      <c r="E67" s="1232">
        <v>1</v>
      </c>
      <c r="F67" s="1232">
        <v>0.28999999999999998</v>
      </c>
      <c r="G67" s="1277">
        <f>+F67*100/E67</f>
        <v>28.999999999999996</v>
      </c>
      <c r="H67" s="1275">
        <v>100000</v>
      </c>
      <c r="I67" s="1295">
        <v>576</v>
      </c>
      <c r="J67" s="1295">
        <f>+I67/H67*100</f>
        <v>0.57600000000000007</v>
      </c>
    </row>
    <row r="68" spans="1:10" ht="20.25" customHeight="1" x14ac:dyDescent="0.2">
      <c r="A68" s="1598" t="s">
        <v>378</v>
      </c>
      <c r="B68" s="2230"/>
      <c r="C68" s="2231"/>
      <c r="D68" s="2229"/>
      <c r="E68" s="2228"/>
      <c r="F68" s="2229"/>
      <c r="G68" s="2230"/>
      <c r="H68" s="2254">
        <f>+H69</f>
        <v>1212410</v>
      </c>
      <c r="I68" s="1515">
        <f>+I69</f>
        <v>44426.11</v>
      </c>
      <c r="J68" s="1515">
        <f t="shared" ref="J68" si="10">+I68/H68*100</f>
        <v>3.6642810600374465</v>
      </c>
    </row>
    <row r="69" spans="1:10" ht="19.5" customHeight="1" x14ac:dyDescent="0.2">
      <c r="A69" s="1393">
        <v>1</v>
      </c>
      <c r="B69" s="1476" t="s">
        <v>2759</v>
      </c>
      <c r="C69" s="1401" t="s">
        <v>32</v>
      </c>
      <c r="D69" s="1401" t="s">
        <v>1982</v>
      </c>
      <c r="E69" s="2232">
        <v>10</v>
      </c>
      <c r="F69" s="2232">
        <v>4</v>
      </c>
      <c r="G69" s="1438">
        <f>F69*100/E69</f>
        <v>40</v>
      </c>
      <c r="H69" s="1404">
        <v>1212410</v>
      </c>
      <c r="I69" s="1403">
        <v>44426.11</v>
      </c>
      <c r="J69" s="1438">
        <f t="shared" ref="J69:J70" si="11">+I69/H69*100</f>
        <v>3.6642810600374465</v>
      </c>
    </row>
    <row r="70" spans="1:10" ht="18.75" customHeight="1" x14ac:dyDescent="0.2">
      <c r="A70" s="1598" t="s">
        <v>1047</v>
      </c>
      <c r="B70" s="2230"/>
      <c r="C70" s="2231"/>
      <c r="D70" s="2229"/>
      <c r="E70" s="2228"/>
      <c r="F70" s="2229"/>
      <c r="G70" s="2229"/>
      <c r="H70" s="2254">
        <f>+H71</f>
        <v>921007</v>
      </c>
      <c r="I70" s="1515">
        <f>+I71</f>
        <v>58254.3</v>
      </c>
      <c r="J70" s="1515">
        <f t="shared" si="11"/>
        <v>6.3250659332665231</v>
      </c>
    </row>
    <row r="71" spans="1:10" ht="15.75" customHeight="1" x14ac:dyDescent="0.2">
      <c r="A71" s="1393"/>
      <c r="B71" s="2233" t="s">
        <v>2758</v>
      </c>
      <c r="C71" s="1401"/>
      <c r="D71" s="1401"/>
      <c r="E71" s="1518"/>
      <c r="F71" s="1518"/>
      <c r="G71" s="1438"/>
      <c r="H71" s="2234">
        <f>SUM(H72:H78)</f>
        <v>921007</v>
      </c>
      <c r="I71" s="2235">
        <f>SUM(I72:I78)</f>
        <v>58254.3</v>
      </c>
      <c r="J71" s="2236">
        <f t="shared" ref="J71" si="12">+I71/H71*100</f>
        <v>6.3250659332665231</v>
      </c>
    </row>
    <row r="72" spans="1:10" ht="23.25" customHeight="1" x14ac:dyDescent="0.2">
      <c r="A72" s="2171">
        <v>1</v>
      </c>
      <c r="B72" s="601" t="s">
        <v>1817</v>
      </c>
      <c r="C72" s="2173" t="s">
        <v>735</v>
      </c>
      <c r="D72" s="2173" t="s">
        <v>41</v>
      </c>
      <c r="E72" s="2174">
        <v>48</v>
      </c>
      <c r="F72" s="2174">
        <v>11</v>
      </c>
      <c r="G72" s="2175">
        <f>+F72/E72*100</f>
        <v>22.916666666666664</v>
      </c>
      <c r="H72" s="2174">
        <v>97900</v>
      </c>
      <c r="I72" s="2175">
        <f>46524+5999.7</f>
        <v>52523.7</v>
      </c>
      <c r="J72" s="1629">
        <f t="shared" ref="J72:J78" si="13">+I72/H72*100</f>
        <v>53.650357507660871</v>
      </c>
    </row>
    <row r="73" spans="1:10" ht="20.25" customHeight="1" x14ac:dyDescent="0.2">
      <c r="A73" s="2171">
        <v>2</v>
      </c>
      <c r="B73" s="601" t="s">
        <v>1821</v>
      </c>
      <c r="C73" s="2173" t="s">
        <v>1816</v>
      </c>
      <c r="D73" s="2173" t="s">
        <v>337</v>
      </c>
      <c r="E73" s="2174">
        <v>1</v>
      </c>
      <c r="F73" s="2237">
        <v>0.17</v>
      </c>
      <c r="G73" s="2175">
        <f>+F73/E73*100</f>
        <v>17</v>
      </c>
      <c r="H73" s="2174">
        <v>11700</v>
      </c>
      <c r="I73" s="2175">
        <v>2000.3</v>
      </c>
      <c r="J73" s="1629">
        <f t="shared" si="13"/>
        <v>17.096581196581194</v>
      </c>
    </row>
    <row r="74" spans="1:10" ht="19.5" customHeight="1" x14ac:dyDescent="0.2">
      <c r="A74" s="2171">
        <v>3</v>
      </c>
      <c r="B74" s="601" t="s">
        <v>1822</v>
      </c>
      <c r="C74" s="2173" t="s">
        <v>37</v>
      </c>
      <c r="D74" s="2173" t="s">
        <v>41</v>
      </c>
      <c r="E74" s="2174">
        <v>1</v>
      </c>
      <c r="F74" s="2175">
        <v>0</v>
      </c>
      <c r="G74" s="2175">
        <f>+F74/E74*100</f>
        <v>0</v>
      </c>
      <c r="H74" s="2174">
        <v>326000</v>
      </c>
      <c r="I74" s="2175">
        <v>0</v>
      </c>
      <c r="J74" s="1629">
        <f t="shared" si="13"/>
        <v>0</v>
      </c>
    </row>
    <row r="75" spans="1:10" ht="25.5" x14ac:dyDescent="0.2">
      <c r="A75" s="2171">
        <v>4</v>
      </c>
      <c r="B75" s="601" t="s">
        <v>1841</v>
      </c>
      <c r="C75" s="2173" t="s">
        <v>186</v>
      </c>
      <c r="D75" s="574" t="s">
        <v>706</v>
      </c>
      <c r="E75" s="2174">
        <v>1</v>
      </c>
      <c r="F75" s="2176">
        <v>0</v>
      </c>
      <c r="G75" s="2175">
        <v>0</v>
      </c>
      <c r="H75" s="2174">
        <v>26580</v>
      </c>
      <c r="I75" s="2175">
        <v>0</v>
      </c>
      <c r="J75" s="1629">
        <f t="shared" si="13"/>
        <v>0</v>
      </c>
    </row>
    <row r="76" spans="1:10" ht="25.5" x14ac:dyDescent="0.2">
      <c r="A76" s="2171">
        <v>5</v>
      </c>
      <c r="B76" s="601" t="s">
        <v>1840</v>
      </c>
      <c r="C76" s="2173" t="s">
        <v>186</v>
      </c>
      <c r="D76" s="574" t="s">
        <v>706</v>
      </c>
      <c r="E76" s="2174">
        <v>1</v>
      </c>
      <c r="F76" s="2176">
        <v>0</v>
      </c>
      <c r="G76" s="2175">
        <v>0</v>
      </c>
      <c r="H76" s="2174">
        <v>15200</v>
      </c>
      <c r="I76" s="2175">
        <v>0</v>
      </c>
      <c r="J76" s="1629">
        <f t="shared" si="13"/>
        <v>0</v>
      </c>
    </row>
    <row r="77" spans="1:10" ht="25.5" x14ac:dyDescent="0.2">
      <c r="A77" s="2171">
        <v>6</v>
      </c>
      <c r="B77" s="601" t="s">
        <v>1839</v>
      </c>
      <c r="C77" s="2173" t="s">
        <v>37</v>
      </c>
      <c r="D77" s="574" t="s">
        <v>706</v>
      </c>
      <c r="E77" s="2174">
        <v>1</v>
      </c>
      <c r="F77" s="2176">
        <v>0</v>
      </c>
      <c r="G77" s="2175">
        <v>0</v>
      </c>
      <c r="H77" s="2174">
        <v>201727</v>
      </c>
      <c r="I77" s="2175">
        <v>0</v>
      </c>
      <c r="J77" s="1629">
        <f t="shared" si="13"/>
        <v>0</v>
      </c>
    </row>
    <row r="78" spans="1:10" ht="25.5" x14ac:dyDescent="0.2">
      <c r="A78" s="2171">
        <v>7</v>
      </c>
      <c r="B78" s="601" t="s">
        <v>1839</v>
      </c>
      <c r="C78" s="2173" t="s">
        <v>37</v>
      </c>
      <c r="D78" s="574" t="s">
        <v>2757</v>
      </c>
      <c r="E78" s="2174">
        <v>1</v>
      </c>
      <c r="F78" s="2176">
        <v>0</v>
      </c>
      <c r="G78" s="2175">
        <v>0</v>
      </c>
      <c r="H78" s="2174">
        <v>241900</v>
      </c>
      <c r="I78" s="2175">
        <v>3730.3</v>
      </c>
      <c r="J78" s="1629">
        <f t="shared" si="13"/>
        <v>1.5420835055808184</v>
      </c>
    </row>
    <row r="79" spans="1:10" ht="23.25" customHeight="1" x14ac:dyDescent="0.2">
      <c r="A79" s="2517" t="s">
        <v>2755</v>
      </c>
      <c r="B79" s="2517"/>
      <c r="C79" s="2517"/>
      <c r="D79" s="2517"/>
      <c r="E79" s="2517"/>
      <c r="F79" s="2517"/>
      <c r="G79" s="2517"/>
      <c r="H79" s="2517"/>
      <c r="I79" s="2517"/>
      <c r="J79" s="2517"/>
    </row>
    <row r="80" spans="1:10" x14ac:dyDescent="0.2">
      <c r="H80" s="32"/>
    </row>
    <row r="81" spans="8:8" x14ac:dyDescent="0.2">
      <c r="H81" s="32"/>
    </row>
  </sheetData>
  <mergeCells count="11">
    <mergeCell ref="A2:B2"/>
    <mergeCell ref="A79:J79"/>
    <mergeCell ref="H6:J6"/>
    <mergeCell ref="C8:G8"/>
    <mergeCell ref="A3:J3"/>
    <mergeCell ref="A5:J5"/>
    <mergeCell ref="D6:G6"/>
    <mergeCell ref="C6:C7"/>
    <mergeCell ref="B6:B7"/>
    <mergeCell ref="A6:A7"/>
    <mergeCell ref="A4:F4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5" orientation="landscape" r:id="rId1"/>
  <headerFooter>
    <oddHeader>&amp;L&amp;G</oddHeader>
    <oddFooter>&amp;L&amp;G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5"/>
  <sheetViews>
    <sheetView view="pageBreakPreview" topLeftCell="A113" zoomScaleNormal="100" zoomScaleSheetLayoutView="100" workbookViewId="0">
      <selection activeCell="A2" sqref="A2:E132"/>
    </sheetView>
  </sheetViews>
  <sheetFormatPr baseColWidth="10" defaultRowHeight="15" x14ac:dyDescent="0.25"/>
  <cols>
    <col min="1" max="1" width="29.28515625" customWidth="1"/>
    <col min="2" max="2" width="33.28515625" customWidth="1"/>
    <col min="3" max="3" width="12.28515625" customWidth="1"/>
    <col min="4" max="4" width="13.85546875" customWidth="1"/>
    <col min="5" max="5" width="12.28515625" customWidth="1"/>
  </cols>
  <sheetData>
    <row r="2" spans="1:5" x14ac:dyDescent="0.25">
      <c r="A2" s="2537" t="s">
        <v>2743</v>
      </c>
      <c r="B2" s="2538"/>
      <c r="C2" s="2538"/>
      <c r="D2" s="2538"/>
      <c r="E2" s="2539"/>
    </row>
    <row r="3" spans="1:5" ht="27.75" customHeight="1" x14ac:dyDescent="0.25">
      <c r="A3" s="2542" t="s">
        <v>2306</v>
      </c>
      <c r="B3" s="2543"/>
      <c r="C3" s="2543"/>
      <c r="D3" s="2543"/>
      <c r="E3" s="2544"/>
    </row>
    <row r="4" spans="1:5" x14ac:dyDescent="0.25">
      <c r="A4" s="2545" t="s">
        <v>2307</v>
      </c>
      <c r="B4" s="2546"/>
      <c r="C4" s="2546"/>
      <c r="D4" s="2546"/>
      <c r="E4" s="2547"/>
    </row>
    <row r="5" spans="1:5" ht="6.75" customHeight="1" x14ac:dyDescent="0.25">
      <c r="A5" s="1521"/>
      <c r="B5" s="1522"/>
      <c r="C5" s="1522"/>
      <c r="D5" s="1522"/>
      <c r="E5" s="1523"/>
    </row>
    <row r="6" spans="1:5" ht="36" customHeight="1" x14ac:dyDescent="0.25">
      <c r="A6" s="1678" t="s">
        <v>2308</v>
      </c>
      <c r="B6" s="1679" t="s">
        <v>2309</v>
      </c>
      <c r="C6" s="1680" t="s">
        <v>2310</v>
      </c>
      <c r="D6" s="1680" t="s">
        <v>2311</v>
      </c>
      <c r="E6" s="2024" t="s">
        <v>2790</v>
      </c>
    </row>
    <row r="7" spans="1:5" x14ac:dyDescent="0.25">
      <c r="A7" s="1681"/>
      <c r="B7" s="1681" t="s">
        <v>2312</v>
      </c>
      <c r="C7" s="1682">
        <f>SUM(C8:C28)</f>
        <v>825087863</v>
      </c>
      <c r="D7" s="1683">
        <f>SUM(D8:D28)</f>
        <v>368837004.41000003</v>
      </c>
      <c r="E7" s="1684">
        <f>+D7/C7*100</f>
        <v>44.702754815580171</v>
      </c>
    </row>
    <row r="8" spans="1:5" ht="16.5" customHeight="1" x14ac:dyDescent="0.25">
      <c r="A8" s="2548" t="s">
        <v>2313</v>
      </c>
      <c r="B8" s="1685" t="s">
        <v>2314</v>
      </c>
      <c r="C8" s="1686">
        <v>778221</v>
      </c>
      <c r="D8" s="1687">
        <v>755903.14</v>
      </c>
      <c r="E8" s="1688">
        <f t="shared" ref="E8:E28" si="0">+D8/C8*100</f>
        <v>97.132195096251579</v>
      </c>
    </row>
    <row r="9" spans="1:5" ht="16.5" customHeight="1" x14ac:dyDescent="0.25">
      <c r="A9" s="2549"/>
      <c r="B9" s="1685" t="s">
        <v>2315</v>
      </c>
      <c r="C9" s="1689">
        <v>200988</v>
      </c>
      <c r="D9" s="1690">
        <v>86214.81</v>
      </c>
      <c r="E9" s="1688">
        <f t="shared" si="0"/>
        <v>42.895501223953673</v>
      </c>
    </row>
    <row r="10" spans="1:5" x14ac:dyDescent="0.25">
      <c r="A10" s="2549"/>
      <c r="B10" s="1691" t="s">
        <v>2316</v>
      </c>
      <c r="C10" s="1686">
        <v>250666</v>
      </c>
      <c r="D10" s="1687">
        <v>87287.38</v>
      </c>
      <c r="E10" s="1688">
        <f t="shared" si="0"/>
        <v>34.822185697302388</v>
      </c>
    </row>
    <row r="11" spans="1:5" ht="22.5" x14ac:dyDescent="0.25">
      <c r="A11" s="2549"/>
      <c r="B11" s="1691" t="s">
        <v>2317</v>
      </c>
      <c r="C11" s="1686">
        <v>10700038</v>
      </c>
      <c r="D11" s="1687">
        <v>3059218.6</v>
      </c>
      <c r="E11" s="1688">
        <f t="shared" si="0"/>
        <v>28.590726500223646</v>
      </c>
    </row>
    <row r="12" spans="1:5" x14ac:dyDescent="0.25">
      <c r="A12" s="2549"/>
      <c r="B12" s="1692" t="s">
        <v>2318</v>
      </c>
      <c r="C12" s="1686">
        <v>4020790</v>
      </c>
      <c r="D12" s="1687">
        <v>764649</v>
      </c>
      <c r="E12" s="1688">
        <f t="shared" si="0"/>
        <v>19.017382156242927</v>
      </c>
    </row>
    <row r="13" spans="1:5" x14ac:dyDescent="0.25">
      <c r="A13" s="2549"/>
      <c r="B13" s="1692" t="s">
        <v>2319</v>
      </c>
      <c r="C13" s="844">
        <v>5490097</v>
      </c>
      <c r="D13" s="1693">
        <v>1744582.61</v>
      </c>
      <c r="E13" s="1688">
        <f t="shared" si="0"/>
        <v>31.7768995702626</v>
      </c>
    </row>
    <row r="14" spans="1:5" x14ac:dyDescent="0.25">
      <c r="A14" s="2549"/>
      <c r="B14" s="1692" t="s">
        <v>2320</v>
      </c>
      <c r="C14" s="1686">
        <v>4914613</v>
      </c>
      <c r="D14" s="1687">
        <v>1154662.92</v>
      </c>
      <c r="E14" s="1688">
        <f t="shared" si="0"/>
        <v>23.494483085443349</v>
      </c>
    </row>
    <row r="15" spans="1:5" x14ac:dyDescent="0.25">
      <c r="A15" s="2549"/>
      <c r="B15" s="1692" t="s">
        <v>2321</v>
      </c>
      <c r="C15" s="1686">
        <v>30998829</v>
      </c>
      <c r="D15" s="1687">
        <v>13381635.720000001</v>
      </c>
      <c r="E15" s="1688">
        <f t="shared" si="0"/>
        <v>43.168197482556522</v>
      </c>
    </row>
    <row r="16" spans="1:5" x14ac:dyDescent="0.25">
      <c r="A16" s="2549"/>
      <c r="B16" s="1692" t="s">
        <v>2322</v>
      </c>
      <c r="C16" s="1686">
        <v>83328257</v>
      </c>
      <c r="D16" s="1687">
        <v>31289574.890000001</v>
      </c>
      <c r="E16" s="1688">
        <f t="shared" si="0"/>
        <v>37.549777250230974</v>
      </c>
    </row>
    <row r="17" spans="1:5" x14ac:dyDescent="0.25">
      <c r="A17" s="2549"/>
      <c r="B17" s="1692" t="s">
        <v>2323</v>
      </c>
      <c r="C17" s="1686">
        <v>77104369</v>
      </c>
      <c r="D17" s="1687">
        <v>36679956.100000001</v>
      </c>
      <c r="E17" s="1688">
        <f t="shared" si="0"/>
        <v>47.571825793684923</v>
      </c>
    </row>
    <row r="18" spans="1:5" x14ac:dyDescent="0.25">
      <c r="A18" s="2549"/>
      <c r="B18" s="1692" t="s">
        <v>2324</v>
      </c>
      <c r="C18" s="1686">
        <v>109784509</v>
      </c>
      <c r="D18" s="1687">
        <v>50256045.469999999</v>
      </c>
      <c r="E18" s="1688">
        <f t="shared" si="0"/>
        <v>45.776991606347664</v>
      </c>
    </row>
    <row r="19" spans="1:5" ht="22.5" x14ac:dyDescent="0.25">
      <c r="A19" s="2549"/>
      <c r="B19" s="1692" t="s">
        <v>2325</v>
      </c>
      <c r="C19" s="1686">
        <v>78494136</v>
      </c>
      <c r="D19" s="1687">
        <v>35507924.850000001</v>
      </c>
      <c r="E19" s="1688">
        <f t="shared" si="0"/>
        <v>45.236404474851469</v>
      </c>
    </row>
    <row r="20" spans="1:5" x14ac:dyDescent="0.25">
      <c r="A20" s="2549"/>
      <c r="B20" s="1692" t="s">
        <v>2326</v>
      </c>
      <c r="C20" s="1686">
        <v>34799320</v>
      </c>
      <c r="D20" s="1687">
        <v>16385705.98</v>
      </c>
      <c r="E20" s="1688">
        <f t="shared" si="0"/>
        <v>47.086282088270693</v>
      </c>
    </row>
    <row r="21" spans="1:5" ht="22.5" x14ac:dyDescent="0.25">
      <c r="A21" s="2549"/>
      <c r="B21" s="1692" t="s">
        <v>2327</v>
      </c>
      <c r="C21" s="1686">
        <v>35411901</v>
      </c>
      <c r="D21" s="1687">
        <v>16909312.469999999</v>
      </c>
      <c r="E21" s="1688">
        <f t="shared" si="0"/>
        <v>47.750366381064943</v>
      </c>
    </row>
    <row r="22" spans="1:5" ht="22.5" x14ac:dyDescent="0.25">
      <c r="A22" s="2549"/>
      <c r="B22" s="1692" t="s">
        <v>2328</v>
      </c>
      <c r="C22" s="1686">
        <v>40958620</v>
      </c>
      <c r="D22" s="1687">
        <v>19353729.899999999</v>
      </c>
      <c r="E22" s="1688">
        <f t="shared" si="0"/>
        <v>47.251909121938183</v>
      </c>
    </row>
    <row r="23" spans="1:5" x14ac:dyDescent="0.25">
      <c r="A23" s="2549"/>
      <c r="B23" s="1692" t="s">
        <v>2329</v>
      </c>
      <c r="C23" s="1686">
        <v>45299674</v>
      </c>
      <c r="D23" s="1687">
        <v>22658358.100000001</v>
      </c>
      <c r="E23" s="1688">
        <f t="shared" si="0"/>
        <v>50.018810510645181</v>
      </c>
    </row>
    <row r="24" spans="1:5" ht="22.5" x14ac:dyDescent="0.25">
      <c r="A24" s="2549"/>
      <c r="B24" s="1692" t="s">
        <v>2330</v>
      </c>
      <c r="C24" s="1686">
        <v>160622147</v>
      </c>
      <c r="D24" s="1687">
        <v>71546890.189999998</v>
      </c>
      <c r="E24" s="1688">
        <f t="shared" si="0"/>
        <v>44.543602190798751</v>
      </c>
    </row>
    <row r="25" spans="1:5" ht="22.5" x14ac:dyDescent="0.25">
      <c r="A25" s="2549"/>
      <c r="B25" s="1692" t="s">
        <v>2331</v>
      </c>
      <c r="C25" s="1686">
        <v>27703250</v>
      </c>
      <c r="D25" s="1687">
        <v>12676047.380000001</v>
      </c>
      <c r="E25" s="1688">
        <f t="shared" si="0"/>
        <v>45.756535352350355</v>
      </c>
    </row>
    <row r="26" spans="1:5" ht="22.5" x14ac:dyDescent="0.25">
      <c r="A26" s="2549"/>
      <c r="B26" s="1692" t="s">
        <v>2332</v>
      </c>
      <c r="C26" s="1686">
        <v>25030698</v>
      </c>
      <c r="D26" s="1687">
        <v>11548107.6</v>
      </c>
      <c r="E26" s="1688">
        <f t="shared" si="0"/>
        <v>46.135779353815856</v>
      </c>
    </row>
    <row r="27" spans="1:5" ht="22.5" x14ac:dyDescent="0.25">
      <c r="A27" s="2549"/>
      <c r="B27" s="1692" t="s">
        <v>2333</v>
      </c>
      <c r="C27" s="1686">
        <v>33694782</v>
      </c>
      <c r="D27" s="1687">
        <v>15960305.25</v>
      </c>
      <c r="E27" s="1688">
        <f t="shared" si="0"/>
        <v>47.367290430904106</v>
      </c>
    </row>
    <row r="28" spans="1:5" x14ac:dyDescent="0.25">
      <c r="A28" s="2549"/>
      <c r="B28" s="1692" t="s">
        <v>2334</v>
      </c>
      <c r="C28" s="1686">
        <v>15501958</v>
      </c>
      <c r="D28" s="1687">
        <v>7030892.0499999998</v>
      </c>
      <c r="E28" s="1688">
        <f t="shared" si="0"/>
        <v>45.354864527435822</v>
      </c>
    </row>
    <row r="29" spans="1:5" x14ac:dyDescent="0.25">
      <c r="A29" s="1694"/>
      <c r="B29" s="1695" t="s">
        <v>2312</v>
      </c>
      <c r="C29" s="1696">
        <f>SUM(C30:C41)</f>
        <v>331044335</v>
      </c>
      <c r="D29" s="1697">
        <f>SUM(D30:D41)</f>
        <v>130105799.12</v>
      </c>
      <c r="E29" s="1684">
        <f>+D29/C29*100</f>
        <v>39.301623790058208</v>
      </c>
    </row>
    <row r="30" spans="1:5" ht="28.5" customHeight="1" x14ac:dyDescent="0.25">
      <c r="A30" s="2528" t="s">
        <v>2335</v>
      </c>
      <c r="B30" s="1691" t="s">
        <v>2336</v>
      </c>
      <c r="C30" s="1698">
        <f>155829+110534</f>
        <v>266363</v>
      </c>
      <c r="D30" s="1699">
        <f>28230+45702</f>
        <v>73932</v>
      </c>
      <c r="E30" s="1688">
        <f t="shared" ref="E30:E41" si="1">+D30/C30*100</f>
        <v>27.756107267150465</v>
      </c>
    </row>
    <row r="31" spans="1:5" ht="18.75" customHeight="1" x14ac:dyDescent="0.25">
      <c r="A31" s="2529"/>
      <c r="B31" s="1692" t="s">
        <v>2337</v>
      </c>
      <c r="C31" s="1686">
        <v>5600</v>
      </c>
      <c r="D31" s="1687">
        <v>0</v>
      </c>
      <c r="E31" s="1688">
        <f t="shared" si="1"/>
        <v>0</v>
      </c>
    </row>
    <row r="32" spans="1:5" x14ac:dyDescent="0.25">
      <c r="A32" s="2529"/>
      <c r="B32" s="1692" t="s">
        <v>2338</v>
      </c>
      <c r="C32" s="1686">
        <v>430000</v>
      </c>
      <c r="D32" s="1687">
        <v>3591.02</v>
      </c>
      <c r="E32" s="1688">
        <f t="shared" si="1"/>
        <v>0.83512093023255818</v>
      </c>
    </row>
    <row r="33" spans="1:5" x14ac:dyDescent="0.25">
      <c r="A33" s="2529"/>
      <c r="B33" s="1692" t="s">
        <v>2339</v>
      </c>
      <c r="C33" s="1686">
        <v>1177733</v>
      </c>
      <c r="D33" s="1687">
        <v>1400</v>
      </c>
      <c r="E33" s="1688">
        <f t="shared" si="1"/>
        <v>0.11887244392404729</v>
      </c>
    </row>
    <row r="34" spans="1:5" ht="15.75" customHeight="1" x14ac:dyDescent="0.25">
      <c r="A34" s="2529"/>
      <c r="B34" s="1692" t="s">
        <v>2340</v>
      </c>
      <c r="C34" s="1686">
        <v>34108819</v>
      </c>
      <c r="D34" s="1687">
        <v>7656490.7000000002</v>
      </c>
      <c r="E34" s="1688">
        <f t="shared" si="1"/>
        <v>22.447246561072667</v>
      </c>
    </row>
    <row r="35" spans="1:5" ht="17.25" customHeight="1" x14ac:dyDescent="0.25">
      <c r="A35" s="2529"/>
      <c r="B35" s="1692" t="s">
        <v>2341</v>
      </c>
      <c r="C35" s="1686">
        <v>90887190</v>
      </c>
      <c r="D35" s="1687">
        <v>34408692.490000002</v>
      </c>
      <c r="E35" s="1688">
        <f t="shared" si="1"/>
        <v>37.858682274146666</v>
      </c>
    </row>
    <row r="36" spans="1:5" ht="18.75" customHeight="1" x14ac:dyDescent="0.25">
      <c r="A36" s="2529"/>
      <c r="B36" s="1692" t="s">
        <v>2342</v>
      </c>
      <c r="C36" s="1686">
        <v>46341983</v>
      </c>
      <c r="D36" s="1687">
        <v>19444689.120000001</v>
      </c>
      <c r="E36" s="1688">
        <f t="shared" si="1"/>
        <v>41.959121861487894</v>
      </c>
    </row>
    <row r="37" spans="1:5" x14ac:dyDescent="0.25">
      <c r="A37" s="2529"/>
      <c r="B37" s="1692" t="s">
        <v>2343</v>
      </c>
      <c r="C37" s="1686">
        <v>34230626</v>
      </c>
      <c r="D37" s="1687">
        <v>14070371.119999999</v>
      </c>
      <c r="E37" s="1688">
        <f t="shared" si="1"/>
        <v>41.104626950146923</v>
      </c>
    </row>
    <row r="38" spans="1:5" ht="18" customHeight="1" x14ac:dyDescent="0.25">
      <c r="A38" s="2529"/>
      <c r="B38" s="1692" t="s">
        <v>2344</v>
      </c>
      <c r="C38" s="1686">
        <v>48769974</v>
      </c>
      <c r="D38" s="1687">
        <v>21671812.859999999</v>
      </c>
      <c r="E38" s="1688">
        <f t="shared" si="1"/>
        <v>44.436793958512261</v>
      </c>
    </row>
    <row r="39" spans="1:5" x14ac:dyDescent="0.25">
      <c r="A39" s="2529"/>
      <c r="B39" s="1692" t="s">
        <v>2345</v>
      </c>
      <c r="C39" s="1686">
        <v>49973898</v>
      </c>
      <c r="D39" s="1687">
        <v>21737835.280000001</v>
      </c>
      <c r="E39" s="1688">
        <f t="shared" si="1"/>
        <v>43.498378453487859</v>
      </c>
    </row>
    <row r="40" spans="1:5" x14ac:dyDescent="0.25">
      <c r="A40" s="2529"/>
      <c r="B40" s="1692" t="s">
        <v>2346</v>
      </c>
      <c r="C40" s="1686">
        <v>14695454</v>
      </c>
      <c r="D40" s="1687">
        <v>6865654.2699999996</v>
      </c>
      <c r="E40" s="1688">
        <f t="shared" si="1"/>
        <v>46.719579197757341</v>
      </c>
    </row>
    <row r="41" spans="1:5" x14ac:dyDescent="0.25">
      <c r="A41" s="2530"/>
      <c r="B41" s="1692" t="s">
        <v>2347</v>
      </c>
      <c r="C41" s="1686">
        <v>10156695</v>
      </c>
      <c r="D41" s="1687">
        <v>4171330.26</v>
      </c>
      <c r="E41" s="1688">
        <f t="shared" si="1"/>
        <v>41.069759995746644</v>
      </c>
    </row>
    <row r="42" spans="1:5" x14ac:dyDescent="0.25">
      <c r="A42" s="1700"/>
      <c r="B42" s="1695" t="s">
        <v>2312</v>
      </c>
      <c r="C42" s="1701">
        <f>SUM(C43:C45)</f>
        <v>20607929</v>
      </c>
      <c r="D42" s="1702">
        <f>SUM(D43:D45)</f>
        <v>9088013.1699999999</v>
      </c>
      <c r="E42" s="1684">
        <f>+D42/C42*100</f>
        <v>44.099594723953096</v>
      </c>
    </row>
    <row r="43" spans="1:5" ht="22.5" customHeight="1" x14ac:dyDescent="0.25">
      <c r="A43" s="2550" t="s">
        <v>2348</v>
      </c>
      <c r="B43" s="1692" t="s">
        <v>2349</v>
      </c>
      <c r="C43" s="1686">
        <v>8000</v>
      </c>
      <c r="D43" s="1703">
        <v>0</v>
      </c>
      <c r="E43" s="1688">
        <f t="shared" ref="E43:E45" si="2">+D43/C43*100</f>
        <v>0</v>
      </c>
    </row>
    <row r="44" spans="1:5" x14ac:dyDescent="0.25">
      <c r="A44" s="2551"/>
      <c r="B44" s="1692" t="s">
        <v>2340</v>
      </c>
      <c r="C44" s="1686">
        <v>20199324</v>
      </c>
      <c r="D44" s="1703">
        <v>8901807.4900000002</v>
      </c>
      <c r="E44" s="1688">
        <f t="shared" si="2"/>
        <v>44.069828722981022</v>
      </c>
    </row>
    <row r="45" spans="1:5" ht="19.5" customHeight="1" x14ac:dyDescent="0.25">
      <c r="A45" s="2552"/>
      <c r="B45" s="1685" t="s">
        <v>2350</v>
      </c>
      <c r="C45" s="1686">
        <v>400605</v>
      </c>
      <c r="D45" s="1687">
        <v>186205.68</v>
      </c>
      <c r="E45" s="1688">
        <f t="shared" si="2"/>
        <v>46.48111731006852</v>
      </c>
    </row>
    <row r="46" spans="1:5" x14ac:dyDescent="0.25">
      <c r="A46" s="1694"/>
      <c r="B46" s="1695" t="s">
        <v>2312</v>
      </c>
      <c r="C46" s="1704">
        <f>SUM(C47:C48)</f>
        <v>813411</v>
      </c>
      <c r="D46" s="1705">
        <f>SUM(D47:D48)</f>
        <v>361776.64000000001</v>
      </c>
      <c r="E46" s="1684">
        <f>+D46/C46*100</f>
        <v>44.476487286255043</v>
      </c>
    </row>
    <row r="47" spans="1:5" ht="22.5" customHeight="1" x14ac:dyDescent="0.25">
      <c r="A47" s="2540" t="s">
        <v>2351</v>
      </c>
      <c r="B47" s="1685" t="s">
        <v>2352</v>
      </c>
      <c r="C47" s="1686">
        <v>73263</v>
      </c>
      <c r="D47" s="1687">
        <v>35103.64</v>
      </c>
      <c r="E47" s="1688">
        <f>+D47/C47*100</f>
        <v>47.91455441355118</v>
      </c>
    </row>
    <row r="48" spans="1:5" ht="47.25" customHeight="1" x14ac:dyDescent="0.25">
      <c r="A48" s="2541"/>
      <c r="B48" s="1685" t="s">
        <v>2353</v>
      </c>
      <c r="C48" s="1698">
        <v>740148</v>
      </c>
      <c r="D48" s="1699">
        <v>326673</v>
      </c>
      <c r="E48" s="1688">
        <f>+D48/C48*100</f>
        <v>44.136172765446915</v>
      </c>
    </row>
    <row r="49" spans="1:5" x14ac:dyDescent="0.25">
      <c r="A49" s="845"/>
      <c r="B49" s="1695" t="s">
        <v>2312</v>
      </c>
      <c r="C49" s="1706">
        <f>+C50</f>
        <v>2204440</v>
      </c>
      <c r="D49" s="1707">
        <f>+D50</f>
        <v>492407.76</v>
      </c>
      <c r="E49" s="1684">
        <f>+C49/$C$129*100</f>
        <v>181.82298067485419</v>
      </c>
    </row>
    <row r="50" spans="1:5" ht="33.75" x14ac:dyDescent="0.25">
      <c r="A50" s="1708" t="s">
        <v>2354</v>
      </c>
      <c r="B50" s="1685" t="s">
        <v>2355</v>
      </c>
      <c r="C50" s="1686">
        <v>2204440</v>
      </c>
      <c r="D50" s="1687">
        <v>492407.76</v>
      </c>
      <c r="E50" s="1688">
        <f>+C50/$C$129*100</f>
        <v>181.82298067485419</v>
      </c>
    </row>
    <row r="51" spans="1:5" x14ac:dyDescent="0.25">
      <c r="A51" s="1709"/>
      <c r="B51" s="1695" t="s">
        <v>2312</v>
      </c>
      <c r="C51" s="1704">
        <f>SUM(C52:C57)</f>
        <v>24809989</v>
      </c>
      <c r="D51" s="1705">
        <f>SUM(D52:D57)</f>
        <v>8662781.9000000004</v>
      </c>
      <c r="E51" s="1684">
        <f>+D51/C51*100</f>
        <v>34.916508427311278</v>
      </c>
    </row>
    <row r="52" spans="1:5" ht="15" customHeight="1" x14ac:dyDescent="0.25">
      <c r="A52" s="2531" t="s">
        <v>2356</v>
      </c>
      <c r="B52" s="1998" t="s">
        <v>1146</v>
      </c>
      <c r="C52" s="1686">
        <v>3030298</v>
      </c>
      <c r="D52" s="1687">
        <v>544988</v>
      </c>
      <c r="E52" s="1688">
        <f>+D52/C52*100</f>
        <v>17.984633854492198</v>
      </c>
    </row>
    <row r="53" spans="1:5" x14ac:dyDescent="0.25">
      <c r="A53" s="2531"/>
      <c r="B53" s="1710" t="s">
        <v>2357</v>
      </c>
      <c r="C53" s="1686">
        <v>65974</v>
      </c>
      <c r="D53" s="1687">
        <v>28467.83</v>
      </c>
      <c r="E53" s="1688">
        <f t="shared" ref="E53:E116" si="3">+D53/C53*100</f>
        <v>43.15007427168279</v>
      </c>
    </row>
    <row r="54" spans="1:5" x14ac:dyDescent="0.25">
      <c r="A54" s="2531"/>
      <c r="B54" s="1711" t="s">
        <v>2358</v>
      </c>
      <c r="C54" s="1686">
        <v>879363</v>
      </c>
      <c r="D54" s="1687">
        <v>342421.68</v>
      </c>
      <c r="E54" s="1688">
        <f t="shared" si="3"/>
        <v>38.939741608414273</v>
      </c>
    </row>
    <row r="55" spans="1:5" x14ac:dyDescent="0.25">
      <c r="A55" s="2531"/>
      <c r="B55" s="1712" t="s">
        <v>2359</v>
      </c>
      <c r="C55" s="1686">
        <v>658815</v>
      </c>
      <c r="D55" s="1687">
        <v>338666.49</v>
      </c>
      <c r="E55" s="1688">
        <f t="shared" si="3"/>
        <v>51.405400605632835</v>
      </c>
    </row>
    <row r="56" spans="1:5" x14ac:dyDescent="0.25">
      <c r="A56" s="2531"/>
      <c r="B56" s="1713" t="s">
        <v>2339</v>
      </c>
      <c r="C56" s="1686">
        <v>1588320</v>
      </c>
      <c r="D56" s="1687">
        <v>14505.26</v>
      </c>
      <c r="E56" s="1688">
        <f t="shared" si="3"/>
        <v>0.91324544172458955</v>
      </c>
    </row>
    <row r="57" spans="1:5" x14ac:dyDescent="0.25">
      <c r="A57" s="2531"/>
      <c r="B57" s="1685" t="s">
        <v>2360</v>
      </c>
      <c r="C57" s="1686">
        <v>18587219</v>
      </c>
      <c r="D57" s="1687">
        <v>7393732.6399999997</v>
      </c>
      <c r="E57" s="1688">
        <f t="shared" si="3"/>
        <v>39.778584628501982</v>
      </c>
    </row>
    <row r="58" spans="1:5" x14ac:dyDescent="0.25">
      <c r="A58" s="1694"/>
      <c r="B58" s="1695" t="s">
        <v>2312</v>
      </c>
      <c r="C58" s="1704">
        <f>SUM(C59:C61)</f>
        <v>1556883</v>
      </c>
      <c r="D58" s="1705">
        <f>SUM(D59:D61)</f>
        <v>710457.56</v>
      </c>
      <c r="E58" s="1684">
        <f>+D58/C58*100</f>
        <v>45.633330186019123</v>
      </c>
    </row>
    <row r="59" spans="1:5" ht="15" customHeight="1" x14ac:dyDescent="0.25">
      <c r="A59" s="2528" t="s">
        <v>2361</v>
      </c>
      <c r="B59" s="1714" t="s">
        <v>2362</v>
      </c>
      <c r="C59" s="1686">
        <v>212870</v>
      </c>
      <c r="D59" s="1687">
        <v>0</v>
      </c>
      <c r="E59" s="1688">
        <f t="shared" si="3"/>
        <v>0</v>
      </c>
    </row>
    <row r="60" spans="1:5" ht="22.5" x14ac:dyDescent="0.25">
      <c r="A60" s="2529"/>
      <c r="B60" s="1691" t="s">
        <v>2363</v>
      </c>
      <c r="C60" s="1686">
        <v>829034</v>
      </c>
      <c r="D60" s="1687">
        <v>409238.63</v>
      </c>
      <c r="E60" s="1688">
        <f t="shared" si="3"/>
        <v>49.363310793043468</v>
      </c>
    </row>
    <row r="61" spans="1:5" x14ac:dyDescent="0.25">
      <c r="A61" s="2530"/>
      <c r="B61" s="1692" t="s">
        <v>2359</v>
      </c>
      <c r="C61" s="1686">
        <v>514979</v>
      </c>
      <c r="D61" s="1687">
        <v>301218.93</v>
      </c>
      <c r="E61" s="1688">
        <f t="shared" si="3"/>
        <v>58.491497711557173</v>
      </c>
    </row>
    <row r="62" spans="1:5" x14ac:dyDescent="0.25">
      <c r="A62" s="1715"/>
      <c r="B62" s="1695" t="s">
        <v>2312</v>
      </c>
      <c r="C62" s="1704">
        <f>SUM(C63:C67)</f>
        <v>32272609</v>
      </c>
      <c r="D62" s="1705">
        <f>SUM(D63:D67)</f>
        <v>7951277.9400000004</v>
      </c>
      <c r="E62" s="1684">
        <f>+D62/C62*100</f>
        <v>24.637852923511701</v>
      </c>
    </row>
    <row r="63" spans="1:5" ht="15" customHeight="1" x14ac:dyDescent="0.25">
      <c r="A63" s="2532" t="s">
        <v>2364</v>
      </c>
      <c r="B63" s="1714" t="s">
        <v>2337</v>
      </c>
      <c r="C63" s="1716">
        <v>121600</v>
      </c>
      <c r="D63" s="1717">
        <v>14013.75</v>
      </c>
      <c r="E63" s="1688">
        <f t="shared" si="3"/>
        <v>11.524465460526317</v>
      </c>
    </row>
    <row r="64" spans="1:5" ht="24" customHeight="1" x14ac:dyDescent="0.25">
      <c r="A64" s="2533"/>
      <c r="B64" s="1685" t="s">
        <v>2365</v>
      </c>
      <c r="C64" s="1716">
        <v>2848264</v>
      </c>
      <c r="D64" s="1717">
        <v>1328795.99</v>
      </c>
      <c r="E64" s="1688">
        <f t="shared" si="3"/>
        <v>46.652838009398003</v>
      </c>
    </row>
    <row r="65" spans="1:5" x14ac:dyDescent="0.25">
      <c r="A65" s="2533"/>
      <c r="B65" s="1692" t="s">
        <v>2318</v>
      </c>
      <c r="C65" s="1716">
        <v>36520</v>
      </c>
      <c r="D65" s="1717">
        <v>18259</v>
      </c>
      <c r="E65" s="1688">
        <f t="shared" si="3"/>
        <v>49.997261774370209</v>
      </c>
    </row>
    <row r="66" spans="1:5" x14ac:dyDescent="0.25">
      <c r="A66" s="2533"/>
      <c r="B66" s="1692" t="s">
        <v>2319</v>
      </c>
      <c r="C66" s="1716">
        <v>2335209</v>
      </c>
      <c r="D66" s="1717">
        <v>795783.01</v>
      </c>
      <c r="E66" s="1688">
        <f t="shared" si="3"/>
        <v>34.077592626612862</v>
      </c>
    </row>
    <row r="67" spans="1:5" ht="22.5" x14ac:dyDescent="0.25">
      <c r="A67" s="2533"/>
      <c r="B67" s="1692" t="s">
        <v>2366</v>
      </c>
      <c r="C67" s="1716">
        <v>26931016</v>
      </c>
      <c r="D67" s="1717">
        <v>5794426.1900000004</v>
      </c>
      <c r="E67" s="1688">
        <f t="shared" si="3"/>
        <v>21.515809837994972</v>
      </c>
    </row>
    <row r="68" spans="1:5" x14ac:dyDescent="0.25">
      <c r="A68" s="1694"/>
      <c r="B68" s="1695" t="s">
        <v>2312</v>
      </c>
      <c r="C68" s="1704">
        <f>SUM(C69:C74)</f>
        <v>15795402</v>
      </c>
      <c r="D68" s="1705">
        <f>SUM(D69:D74)</f>
        <v>6462701.7200000007</v>
      </c>
      <c r="E68" s="1684">
        <f>+D68/C68*100</f>
        <v>40.915082249885124</v>
      </c>
    </row>
    <row r="69" spans="1:5" ht="15" customHeight="1" x14ac:dyDescent="0.25">
      <c r="A69" s="2532" t="s">
        <v>2367</v>
      </c>
      <c r="B69" s="1714" t="s">
        <v>2337</v>
      </c>
      <c r="C69" s="1686">
        <v>428655</v>
      </c>
      <c r="D69" s="1703">
        <v>63742.89</v>
      </c>
      <c r="E69" s="1688">
        <f t="shared" si="3"/>
        <v>14.870441263953529</v>
      </c>
    </row>
    <row r="70" spans="1:5" ht="22.5" x14ac:dyDescent="0.25">
      <c r="A70" s="2533"/>
      <c r="B70" s="1685" t="s">
        <v>2365</v>
      </c>
      <c r="C70" s="1686">
        <v>5987074</v>
      </c>
      <c r="D70" s="1703">
        <v>4893830.28</v>
      </c>
      <c r="E70" s="1688">
        <f t="shared" si="3"/>
        <v>81.739933062460906</v>
      </c>
    </row>
    <row r="71" spans="1:5" x14ac:dyDescent="0.25">
      <c r="A71" s="2533"/>
      <c r="B71" s="1692" t="s">
        <v>2368</v>
      </c>
      <c r="C71" s="1686">
        <v>14079</v>
      </c>
      <c r="D71" s="1703">
        <v>13710</v>
      </c>
      <c r="E71" s="1688">
        <f t="shared" si="3"/>
        <v>97.379075218410392</v>
      </c>
    </row>
    <row r="72" spans="1:5" x14ac:dyDescent="0.25">
      <c r="A72" s="2533"/>
      <c r="B72" s="1692" t="s">
        <v>2338</v>
      </c>
      <c r="C72" s="1686">
        <v>7525</v>
      </c>
      <c r="D72" s="1703">
        <v>7334.2</v>
      </c>
      <c r="E72" s="1688">
        <f t="shared" si="3"/>
        <v>97.464451827242527</v>
      </c>
    </row>
    <row r="73" spans="1:5" x14ac:dyDescent="0.25">
      <c r="A73" s="2533"/>
      <c r="B73" s="1692" t="s">
        <v>2320</v>
      </c>
      <c r="C73" s="1686">
        <v>195098</v>
      </c>
      <c r="D73" s="1703">
        <v>8476.07</v>
      </c>
      <c r="E73" s="1688">
        <f t="shared" si="3"/>
        <v>4.3445191647274699</v>
      </c>
    </row>
    <row r="74" spans="1:5" x14ac:dyDescent="0.25">
      <c r="A74" s="2534"/>
      <c r="B74" s="1692" t="s">
        <v>2340</v>
      </c>
      <c r="C74" s="1686">
        <v>9162971</v>
      </c>
      <c r="D74" s="1703">
        <v>1475608.28</v>
      </c>
      <c r="E74" s="1688">
        <f t="shared" si="3"/>
        <v>16.104037435019709</v>
      </c>
    </row>
    <row r="75" spans="1:5" x14ac:dyDescent="0.25">
      <c r="A75" s="1694"/>
      <c r="B75" s="1695" t="s">
        <v>2312</v>
      </c>
      <c r="C75" s="1704">
        <f>SUM(C76:C80)</f>
        <v>10508528</v>
      </c>
      <c r="D75" s="1705">
        <f>SUM(D76:D80)</f>
        <v>3378763.5</v>
      </c>
      <c r="E75" s="1684">
        <f>+D75/C75*100</f>
        <v>32.152585975885486</v>
      </c>
    </row>
    <row r="76" spans="1:5" ht="15" customHeight="1" x14ac:dyDescent="0.25">
      <c r="A76" s="2535" t="s">
        <v>2369</v>
      </c>
      <c r="B76" s="1691" t="s">
        <v>2370</v>
      </c>
      <c r="C76" s="1686">
        <v>1837568</v>
      </c>
      <c r="D76" s="1687">
        <v>181796</v>
      </c>
      <c r="E76" s="1688">
        <f t="shared" si="3"/>
        <v>9.8932937447757041</v>
      </c>
    </row>
    <row r="77" spans="1:5" ht="22.5" x14ac:dyDescent="0.25">
      <c r="A77" s="2531"/>
      <c r="B77" s="1691" t="s">
        <v>2371</v>
      </c>
      <c r="C77" s="1686">
        <v>35932</v>
      </c>
      <c r="D77" s="1687">
        <v>12696.18</v>
      </c>
      <c r="E77" s="1688">
        <f t="shared" si="3"/>
        <v>35.333908493821667</v>
      </c>
    </row>
    <row r="78" spans="1:5" ht="22.5" x14ac:dyDescent="0.25">
      <c r="A78" s="2531"/>
      <c r="B78" s="1691" t="s">
        <v>2372</v>
      </c>
      <c r="C78" s="1686">
        <v>1191988</v>
      </c>
      <c r="D78" s="1687">
        <v>1172326.1100000001</v>
      </c>
      <c r="E78" s="1688">
        <f t="shared" si="3"/>
        <v>98.350495978147435</v>
      </c>
    </row>
    <row r="79" spans="1:5" x14ac:dyDescent="0.25">
      <c r="A79" s="2531"/>
      <c r="B79" s="1692" t="s">
        <v>2373</v>
      </c>
      <c r="C79" s="1686">
        <v>280791</v>
      </c>
      <c r="D79" s="1687">
        <v>141532.51999999999</v>
      </c>
      <c r="E79" s="1688">
        <f t="shared" si="3"/>
        <v>50.40493463109572</v>
      </c>
    </row>
    <row r="80" spans="1:5" x14ac:dyDescent="0.25">
      <c r="A80" s="2536"/>
      <c r="B80" s="1691" t="s">
        <v>2360</v>
      </c>
      <c r="C80" s="1686">
        <v>7162249</v>
      </c>
      <c r="D80" s="1687">
        <v>1870412.69</v>
      </c>
      <c r="E80" s="1688">
        <f t="shared" si="3"/>
        <v>26.114879418461996</v>
      </c>
    </row>
    <row r="81" spans="1:5" x14ac:dyDescent="0.25">
      <c r="A81" s="1718"/>
      <c r="B81" s="1695" t="s">
        <v>2312</v>
      </c>
      <c r="C81" s="1704">
        <f>SUM(C82:C83)</f>
        <v>5376713</v>
      </c>
      <c r="D81" s="1705">
        <f>SUM(D82:D83)</f>
        <v>1285945.4100000001</v>
      </c>
      <c r="E81" s="1684">
        <f>+D81/C81*100</f>
        <v>23.916943493171388</v>
      </c>
    </row>
    <row r="82" spans="1:5" ht="15" customHeight="1" x14ac:dyDescent="0.25">
      <c r="A82" s="2528" t="s">
        <v>2374</v>
      </c>
      <c r="B82" s="1711" t="s">
        <v>2375</v>
      </c>
      <c r="C82" s="1686">
        <v>1112959</v>
      </c>
      <c r="D82" s="1687">
        <v>189423.82</v>
      </c>
      <c r="E82" s="1688">
        <f t="shared" si="3"/>
        <v>17.019838107243842</v>
      </c>
    </row>
    <row r="83" spans="1:5" ht="22.5" x14ac:dyDescent="0.25">
      <c r="A83" s="2529"/>
      <c r="B83" s="1685" t="s">
        <v>2376</v>
      </c>
      <c r="C83" s="1686">
        <v>4263754</v>
      </c>
      <c r="D83" s="1687">
        <v>1096521.5900000001</v>
      </c>
      <c r="E83" s="1688">
        <f t="shared" si="3"/>
        <v>25.717280828115317</v>
      </c>
    </row>
    <row r="84" spans="1:5" x14ac:dyDescent="0.25">
      <c r="A84" s="1715"/>
      <c r="B84" s="1695" t="s">
        <v>2312</v>
      </c>
      <c r="C84" s="1704">
        <f>+C85</f>
        <v>388162</v>
      </c>
      <c r="D84" s="1705">
        <f>+D85</f>
        <v>191807.53</v>
      </c>
      <c r="E84" s="1684">
        <f>+D84/C84*100</f>
        <v>49.414298669112384</v>
      </c>
    </row>
    <row r="85" spans="1:5" ht="47.25" customHeight="1" x14ac:dyDescent="0.25">
      <c r="A85" s="1708" t="s">
        <v>2377</v>
      </c>
      <c r="B85" s="1691" t="s">
        <v>2378</v>
      </c>
      <c r="C85" s="1686">
        <v>388162</v>
      </c>
      <c r="D85" s="1687">
        <v>191807.53</v>
      </c>
      <c r="E85" s="1688">
        <f t="shared" si="3"/>
        <v>49.414298669112384</v>
      </c>
    </row>
    <row r="86" spans="1:5" x14ac:dyDescent="0.25">
      <c r="A86" s="1709"/>
      <c r="B86" s="1695" t="s">
        <v>2312</v>
      </c>
      <c r="C86" s="1704">
        <f>SUM(C87:C112)</f>
        <v>65794631</v>
      </c>
      <c r="D86" s="1705">
        <f>SUM(D87:D112)</f>
        <v>26850975.640000001</v>
      </c>
      <c r="E86" s="1684">
        <f>+D86/C86*100</f>
        <v>40.810283805680129</v>
      </c>
    </row>
    <row r="87" spans="1:5" ht="15" customHeight="1" x14ac:dyDescent="0.25">
      <c r="A87" s="2525" t="s">
        <v>2379</v>
      </c>
      <c r="B87" s="1710" t="s">
        <v>2380</v>
      </c>
      <c r="C87" s="2265">
        <v>69700</v>
      </c>
      <c r="D87" s="1719">
        <v>25698.51</v>
      </c>
      <c r="E87" s="1688">
        <f t="shared" si="3"/>
        <v>36.870172166427544</v>
      </c>
    </row>
    <row r="88" spans="1:5" x14ac:dyDescent="0.25">
      <c r="A88" s="2526"/>
      <c r="B88" s="1710" t="s">
        <v>2381</v>
      </c>
      <c r="C88" s="2265">
        <v>11300</v>
      </c>
      <c r="D88" s="1719">
        <v>0</v>
      </c>
      <c r="E88" s="1688">
        <f t="shared" si="3"/>
        <v>0</v>
      </c>
    </row>
    <row r="89" spans="1:5" x14ac:dyDescent="0.25">
      <c r="A89" s="2526"/>
      <c r="B89" s="1710" t="s">
        <v>2382</v>
      </c>
      <c r="C89" s="1686">
        <v>51148</v>
      </c>
      <c r="D89" s="1687">
        <v>9074.83</v>
      </c>
      <c r="E89" s="1688">
        <f t="shared" si="3"/>
        <v>17.742296864002501</v>
      </c>
    </row>
    <row r="90" spans="1:5" x14ac:dyDescent="0.25">
      <c r="A90" s="2526"/>
      <c r="B90" s="1720" t="s">
        <v>2383</v>
      </c>
      <c r="C90" s="1686">
        <v>11604</v>
      </c>
      <c r="D90" s="1687">
        <v>7070.43</v>
      </c>
      <c r="E90" s="1688">
        <f t="shared" si="3"/>
        <v>60.930972078593591</v>
      </c>
    </row>
    <row r="91" spans="1:5" x14ac:dyDescent="0.25">
      <c r="A91" s="2526"/>
      <c r="B91" s="1685" t="s">
        <v>2384</v>
      </c>
      <c r="C91" s="1686">
        <v>231840</v>
      </c>
      <c r="D91" s="1687">
        <v>74478.78</v>
      </c>
      <c r="E91" s="1688">
        <f t="shared" si="3"/>
        <v>32.125077639751552</v>
      </c>
    </row>
    <row r="92" spans="1:5" x14ac:dyDescent="0.25">
      <c r="A92" s="2526"/>
      <c r="B92" s="1685" t="s">
        <v>2385</v>
      </c>
      <c r="C92" s="1686">
        <v>165681</v>
      </c>
      <c r="D92" s="1687">
        <v>70222.759999999995</v>
      </c>
      <c r="E92" s="1688">
        <f t="shared" si="3"/>
        <v>42.384316849850009</v>
      </c>
    </row>
    <row r="93" spans="1:5" x14ac:dyDescent="0.25">
      <c r="A93" s="2526"/>
      <c r="B93" s="1685" t="s">
        <v>2386</v>
      </c>
      <c r="C93" s="1686">
        <v>157353</v>
      </c>
      <c r="D93" s="1687">
        <v>68952.570000000007</v>
      </c>
      <c r="E93" s="1688">
        <f t="shared" si="3"/>
        <v>43.820308478389357</v>
      </c>
    </row>
    <row r="94" spans="1:5" x14ac:dyDescent="0.25">
      <c r="A94" s="2526"/>
      <c r="B94" s="1685" t="s">
        <v>2387</v>
      </c>
      <c r="C94" s="1686">
        <v>317717</v>
      </c>
      <c r="D94" s="1687">
        <v>167903.94</v>
      </c>
      <c r="E94" s="1688">
        <f t="shared" si="3"/>
        <v>52.847011648731424</v>
      </c>
    </row>
    <row r="95" spans="1:5" x14ac:dyDescent="0.25">
      <c r="A95" s="2526"/>
      <c r="B95" s="1685" t="s">
        <v>2388</v>
      </c>
      <c r="C95" s="1686">
        <v>98668</v>
      </c>
      <c r="D95" s="1687">
        <v>42666</v>
      </c>
      <c r="E95" s="1688">
        <f t="shared" si="3"/>
        <v>43.241983216443018</v>
      </c>
    </row>
    <row r="96" spans="1:5" x14ac:dyDescent="0.25">
      <c r="A96" s="2526"/>
      <c r="B96" s="1685" t="s">
        <v>2389</v>
      </c>
      <c r="C96" s="1686">
        <v>8130507</v>
      </c>
      <c r="D96" s="1687">
        <v>3893127.87</v>
      </c>
      <c r="E96" s="1688">
        <f t="shared" si="3"/>
        <v>47.882965601038165</v>
      </c>
    </row>
    <row r="97" spans="1:5" x14ac:dyDescent="0.25">
      <c r="A97" s="2526"/>
      <c r="B97" s="1691" t="s">
        <v>2390</v>
      </c>
      <c r="C97" s="1686">
        <v>1007248</v>
      </c>
      <c r="D97" s="1687">
        <v>500732.78</v>
      </c>
      <c r="E97" s="1688">
        <f t="shared" si="3"/>
        <v>49.712958476959002</v>
      </c>
    </row>
    <row r="98" spans="1:5" x14ac:dyDescent="0.25">
      <c r="A98" s="2526"/>
      <c r="B98" s="1691" t="s">
        <v>2391</v>
      </c>
      <c r="C98" s="1686">
        <v>144693</v>
      </c>
      <c r="D98" s="1687">
        <v>64526</v>
      </c>
      <c r="E98" s="1688">
        <f t="shared" si="3"/>
        <v>44.595108263703146</v>
      </c>
    </row>
    <row r="99" spans="1:5" x14ac:dyDescent="0.25">
      <c r="A99" s="2526"/>
      <c r="B99" s="1691" t="s">
        <v>2392</v>
      </c>
      <c r="C99" s="1686">
        <v>1541560</v>
      </c>
      <c r="D99" s="1687">
        <v>781199.87</v>
      </c>
      <c r="E99" s="1688">
        <f t="shared" si="3"/>
        <v>50.675930226523782</v>
      </c>
    </row>
    <row r="100" spans="1:5" x14ac:dyDescent="0.25">
      <c r="A100" s="2526"/>
      <c r="B100" s="1691" t="s">
        <v>2393</v>
      </c>
      <c r="C100" s="1686">
        <v>145573</v>
      </c>
      <c r="D100" s="1687">
        <v>73489.86</v>
      </c>
      <c r="E100" s="1688">
        <f t="shared" si="3"/>
        <v>50.483166521264245</v>
      </c>
    </row>
    <row r="101" spans="1:5" x14ac:dyDescent="0.25">
      <c r="A101" s="2526"/>
      <c r="B101" s="1691" t="s">
        <v>2394</v>
      </c>
      <c r="C101" s="1686">
        <v>67682</v>
      </c>
      <c r="D101" s="1687">
        <v>26036</v>
      </c>
      <c r="E101" s="1688">
        <f t="shared" si="3"/>
        <v>38.468130374397916</v>
      </c>
    </row>
    <row r="102" spans="1:5" x14ac:dyDescent="0.25">
      <c r="A102" s="2526"/>
      <c r="B102" s="1691" t="s">
        <v>668</v>
      </c>
      <c r="C102" s="1686">
        <v>1445133</v>
      </c>
      <c r="D102" s="1687">
        <v>635351.63</v>
      </c>
      <c r="E102" s="1688">
        <f t="shared" si="3"/>
        <v>43.964924335683982</v>
      </c>
    </row>
    <row r="103" spans="1:5" x14ac:dyDescent="0.25">
      <c r="A103" s="2526"/>
      <c r="B103" s="1691" t="s">
        <v>2395</v>
      </c>
      <c r="C103" s="1686">
        <v>38108</v>
      </c>
      <c r="D103" s="1687">
        <v>10891.91</v>
      </c>
      <c r="E103" s="1688">
        <f t="shared" si="3"/>
        <v>28.581688884223784</v>
      </c>
    </row>
    <row r="104" spans="1:5" ht="22.5" x14ac:dyDescent="0.25">
      <c r="A104" s="2526"/>
      <c r="B104" s="1691" t="s">
        <v>2396</v>
      </c>
      <c r="C104" s="1686">
        <v>561099</v>
      </c>
      <c r="D104" s="1687">
        <v>257715.43</v>
      </c>
      <c r="E104" s="1688">
        <f t="shared" si="3"/>
        <v>45.930473944883168</v>
      </c>
    </row>
    <row r="105" spans="1:5" x14ac:dyDescent="0.25">
      <c r="A105" s="2526"/>
      <c r="B105" s="1691" t="s">
        <v>2397</v>
      </c>
      <c r="C105" s="1686">
        <v>4170407</v>
      </c>
      <c r="D105" s="1687">
        <v>152712.17000000001</v>
      </c>
      <c r="E105" s="1688">
        <f t="shared" si="3"/>
        <v>3.6618049509316477</v>
      </c>
    </row>
    <row r="106" spans="1:5" x14ac:dyDescent="0.25">
      <c r="A106" s="2526"/>
      <c r="B106" s="1691" t="s">
        <v>2398</v>
      </c>
      <c r="C106" s="1686">
        <v>2274940</v>
      </c>
      <c r="D106" s="1687">
        <v>642260.78</v>
      </c>
      <c r="E106" s="1688">
        <v>3.6618049509316477</v>
      </c>
    </row>
    <row r="107" spans="1:5" x14ac:dyDescent="0.25">
      <c r="A107" s="2526"/>
      <c r="B107" s="1721" t="s">
        <v>2399</v>
      </c>
      <c r="C107" s="1686">
        <v>358235</v>
      </c>
      <c r="D107" s="1687">
        <v>139222</v>
      </c>
      <c r="E107" s="1688">
        <f t="shared" si="3"/>
        <v>38.863315979733976</v>
      </c>
    </row>
    <row r="108" spans="1:5" x14ac:dyDescent="0.25">
      <c r="A108" s="2526"/>
      <c r="B108" s="1692" t="s">
        <v>2318</v>
      </c>
      <c r="C108" s="1686">
        <v>5194316</v>
      </c>
      <c r="D108" s="1687">
        <v>1577859.66</v>
      </c>
      <c r="E108" s="1688">
        <f t="shared" si="3"/>
        <v>30.376659024980381</v>
      </c>
    </row>
    <row r="109" spans="1:5" x14ac:dyDescent="0.25">
      <c r="A109" s="2526"/>
      <c r="B109" s="1692" t="s">
        <v>2319</v>
      </c>
      <c r="C109" s="1686">
        <v>1740211</v>
      </c>
      <c r="D109" s="1687">
        <v>965778.76</v>
      </c>
      <c r="E109" s="1688">
        <f t="shared" si="3"/>
        <v>55.497796531570017</v>
      </c>
    </row>
    <row r="110" spans="1:5" x14ac:dyDescent="0.25">
      <c r="A110" s="2526"/>
      <c r="B110" s="1692" t="s">
        <v>2320</v>
      </c>
      <c r="C110" s="1686">
        <v>5373832</v>
      </c>
      <c r="D110" s="1687">
        <v>2284527.9300000002</v>
      </c>
      <c r="E110" s="1688">
        <f t="shared" si="3"/>
        <v>42.512083183843487</v>
      </c>
    </row>
    <row r="111" spans="1:5" x14ac:dyDescent="0.25">
      <c r="A111" s="2526"/>
      <c r="B111" s="1692" t="s">
        <v>2400</v>
      </c>
      <c r="C111" s="1686">
        <v>27794496</v>
      </c>
      <c r="D111" s="1687">
        <v>12382996.92</v>
      </c>
      <c r="E111" s="1688">
        <f t="shared" si="3"/>
        <v>44.551975038511223</v>
      </c>
    </row>
    <row r="112" spans="1:5" x14ac:dyDescent="0.25">
      <c r="A112" s="2526"/>
      <c r="B112" s="1691" t="s">
        <v>2360</v>
      </c>
      <c r="C112" s="2266">
        <v>4691580</v>
      </c>
      <c r="D112" s="1722">
        <v>1996478.25</v>
      </c>
      <c r="E112" s="1688">
        <f t="shared" si="3"/>
        <v>42.554496566188789</v>
      </c>
    </row>
    <row r="113" spans="1:5" x14ac:dyDescent="0.25">
      <c r="A113" s="1709"/>
      <c r="B113" s="1695" t="s">
        <v>2312</v>
      </c>
      <c r="C113" s="1704">
        <f>SUM(C114:C117)</f>
        <v>2160320</v>
      </c>
      <c r="D113" s="1705">
        <f>SUM(D114:D117)</f>
        <v>756610.13</v>
      </c>
      <c r="E113" s="1684">
        <f>+D113/C113*100</f>
        <v>35.023058158050659</v>
      </c>
    </row>
    <row r="114" spans="1:5" ht="15" customHeight="1" x14ac:dyDescent="0.25">
      <c r="A114" s="2525" t="s">
        <v>2401</v>
      </c>
      <c r="B114" s="1723" t="s">
        <v>2402</v>
      </c>
      <c r="C114" s="1698">
        <v>199719</v>
      </c>
      <c r="D114" s="1699">
        <v>96093.84</v>
      </c>
      <c r="E114" s="1688">
        <f t="shared" si="3"/>
        <v>48.114520901867117</v>
      </c>
    </row>
    <row r="115" spans="1:5" x14ac:dyDescent="0.25">
      <c r="A115" s="2526"/>
      <c r="B115" s="1691" t="s">
        <v>2403</v>
      </c>
      <c r="C115" s="1698">
        <v>234025</v>
      </c>
      <c r="D115" s="1699">
        <v>109426.54</v>
      </c>
      <c r="E115" s="1688">
        <f t="shared" si="3"/>
        <v>46.758483068048285</v>
      </c>
    </row>
    <row r="116" spans="1:5" x14ac:dyDescent="0.25">
      <c r="A116" s="2526"/>
      <c r="B116" s="846" t="s">
        <v>2404</v>
      </c>
      <c r="C116" s="1698">
        <v>589395</v>
      </c>
      <c r="D116" s="1699">
        <v>114922.87</v>
      </c>
      <c r="E116" s="1688">
        <f t="shared" si="3"/>
        <v>19.498446712306684</v>
      </c>
    </row>
    <row r="117" spans="1:5" x14ac:dyDescent="0.25">
      <c r="A117" s="2527"/>
      <c r="B117" s="1691" t="s">
        <v>2405</v>
      </c>
      <c r="C117" s="1698">
        <v>1137181</v>
      </c>
      <c r="D117" s="1699">
        <v>436166.88</v>
      </c>
      <c r="E117" s="1688">
        <f t="shared" ref="E117" si="4">+D117/C117*100</f>
        <v>38.355097385552526</v>
      </c>
    </row>
    <row r="118" spans="1:5" x14ac:dyDescent="0.25">
      <c r="A118" s="1709"/>
      <c r="B118" s="1695" t="s">
        <v>2312</v>
      </c>
      <c r="C118" s="1724">
        <f>SUM(C119:C121)</f>
        <v>3568400</v>
      </c>
      <c r="D118" s="1725">
        <f>SUM(D119:D121)</f>
        <v>1181107.3400000001</v>
      </c>
      <c r="E118" s="1684">
        <f>+D118/C118*100</f>
        <v>33.099073534357139</v>
      </c>
    </row>
    <row r="119" spans="1:5" ht="15" customHeight="1" x14ac:dyDescent="0.25">
      <c r="A119" s="2528" t="s">
        <v>2406</v>
      </c>
      <c r="B119" s="1691" t="s">
        <v>2407</v>
      </c>
      <c r="C119" s="1686">
        <v>2915553</v>
      </c>
      <c r="D119" s="1687">
        <v>1032751.56</v>
      </c>
      <c r="E119" s="1688">
        <f t="shared" ref="E119:E130" si="5">+D119/C119*100</f>
        <v>35.42215010325657</v>
      </c>
    </row>
    <row r="120" spans="1:5" x14ac:dyDescent="0.25">
      <c r="A120" s="2529"/>
      <c r="B120" s="1685" t="s">
        <v>2319</v>
      </c>
      <c r="C120" s="1726">
        <v>352847</v>
      </c>
      <c r="D120" s="1727">
        <v>146008</v>
      </c>
      <c r="E120" s="1688">
        <f t="shared" si="5"/>
        <v>41.379974889966476</v>
      </c>
    </row>
    <row r="121" spans="1:5" x14ac:dyDescent="0.25">
      <c r="A121" s="2530"/>
      <c r="B121" s="1685" t="s">
        <v>2320</v>
      </c>
      <c r="C121" s="1728">
        <v>300000</v>
      </c>
      <c r="D121" s="1729">
        <v>2347.7800000000002</v>
      </c>
      <c r="E121" s="1688">
        <f t="shared" si="5"/>
        <v>0.78259333333333336</v>
      </c>
    </row>
    <row r="122" spans="1:5" x14ac:dyDescent="0.25">
      <c r="A122" s="1709"/>
      <c r="B122" s="1695" t="s">
        <v>2312</v>
      </c>
      <c r="C122" s="1704">
        <f>SUM(C123:C130)</f>
        <v>42182520</v>
      </c>
      <c r="D122" s="1705">
        <f>SUM(D123:D130)</f>
        <v>3266231.17</v>
      </c>
      <c r="E122" s="1684">
        <f>+D122/C122*100</f>
        <v>7.7430916170963702</v>
      </c>
    </row>
    <row r="123" spans="1:5" ht="22.5" customHeight="1" x14ac:dyDescent="0.25">
      <c r="A123" s="2528" t="s">
        <v>2408</v>
      </c>
      <c r="B123" s="1730" t="s">
        <v>2409</v>
      </c>
      <c r="C123" s="2260">
        <v>637799</v>
      </c>
      <c r="D123" s="1731">
        <v>35604</v>
      </c>
      <c r="E123" s="1688">
        <f t="shared" si="5"/>
        <v>5.5823229575461859</v>
      </c>
    </row>
    <row r="124" spans="1:5" ht="22.5" x14ac:dyDescent="0.25">
      <c r="A124" s="2529"/>
      <c r="B124" s="1730" t="s">
        <v>2410</v>
      </c>
      <c r="C124" s="2260">
        <v>1469082</v>
      </c>
      <c r="D124" s="1731">
        <v>30375</v>
      </c>
      <c r="E124" s="1688">
        <f t="shared" si="5"/>
        <v>2.0676177367907305</v>
      </c>
    </row>
    <row r="125" spans="1:5" ht="22.5" x14ac:dyDescent="0.25">
      <c r="A125" s="2529"/>
      <c r="B125" s="1730" t="s">
        <v>2411</v>
      </c>
      <c r="C125" s="2260">
        <v>35374006</v>
      </c>
      <c r="D125" s="1731">
        <v>2123524.5</v>
      </c>
      <c r="E125" s="1688">
        <f t="shared" si="5"/>
        <v>6.0030647928312106</v>
      </c>
    </row>
    <row r="126" spans="1:5" x14ac:dyDescent="0.25">
      <c r="A126" s="2529"/>
      <c r="B126" s="1730" t="s">
        <v>2360</v>
      </c>
      <c r="C126" s="2260">
        <v>170607</v>
      </c>
      <c r="D126" s="1731">
        <v>52010.239999999998</v>
      </c>
      <c r="E126" s="1688">
        <f t="shared" si="5"/>
        <v>30.485407984432054</v>
      </c>
    </row>
    <row r="127" spans="1:5" ht="22.5" x14ac:dyDescent="0.25">
      <c r="A127" s="2529"/>
      <c r="B127" s="1692" t="s">
        <v>2792</v>
      </c>
      <c r="C127" s="2261">
        <v>1558036</v>
      </c>
      <c r="D127" s="2238">
        <v>360125</v>
      </c>
      <c r="E127" s="2239">
        <f t="shared" si="5"/>
        <v>23.114035875936114</v>
      </c>
    </row>
    <row r="128" spans="1:5" ht="22.5" x14ac:dyDescent="0.25">
      <c r="A128" s="2529"/>
      <c r="B128" s="1692" t="s">
        <v>2412</v>
      </c>
      <c r="C128" s="1686">
        <v>839573</v>
      </c>
      <c r="D128" s="1687">
        <v>561912.02</v>
      </c>
      <c r="E128" s="1688">
        <f t="shared" si="5"/>
        <v>66.928309986147724</v>
      </c>
    </row>
    <row r="129" spans="1:5" ht="22.5" x14ac:dyDescent="0.25">
      <c r="A129" s="2529"/>
      <c r="B129" s="1692" t="s">
        <v>2413</v>
      </c>
      <c r="C129" s="1686">
        <v>1212410</v>
      </c>
      <c r="D129" s="1687">
        <v>44426.11</v>
      </c>
      <c r="E129" s="1688">
        <f t="shared" si="5"/>
        <v>3.6642810600374465</v>
      </c>
    </row>
    <row r="130" spans="1:5" x14ac:dyDescent="0.25">
      <c r="A130" s="2529"/>
      <c r="B130" s="1692" t="s">
        <v>2135</v>
      </c>
      <c r="C130" s="1686">
        <v>921007</v>
      </c>
      <c r="D130" s="847">
        <v>58254.3</v>
      </c>
      <c r="E130" s="1688">
        <f t="shared" si="5"/>
        <v>6.3250659332665231</v>
      </c>
    </row>
    <row r="131" spans="1:5" ht="15.75" thickBot="1" x14ac:dyDescent="0.3">
      <c r="A131" s="2268"/>
      <c r="B131" s="2267" t="s">
        <v>2414</v>
      </c>
      <c r="C131" s="2262">
        <f>+C122+C118+C113+C86+C84+C81+C75+C68+C62+C58+C51+C49+C46+C42+C29+C7</f>
        <v>1384172135</v>
      </c>
      <c r="D131" s="2263">
        <f>+D122+D118+D113+D86+D84+D81+D75+D68+D62+D58+D51+D49+D46+D42+D29+D7</f>
        <v>569583660.94000006</v>
      </c>
      <c r="E131" s="2264">
        <f>+D131/C131*100</f>
        <v>41.149770793500338</v>
      </c>
    </row>
    <row r="132" spans="1:5" ht="15.75" thickTop="1" x14ac:dyDescent="0.25">
      <c r="A132" s="851" t="s">
        <v>2799</v>
      </c>
    </row>
    <row r="133" spans="1:5" x14ac:dyDescent="0.25">
      <c r="C133" s="2048"/>
      <c r="D133" s="2047"/>
    </row>
    <row r="135" spans="1:5" x14ac:dyDescent="0.25">
      <c r="C135" s="2046"/>
    </row>
  </sheetData>
  <mergeCells count="17">
    <mergeCell ref="A2:E2"/>
    <mergeCell ref="A47:A48"/>
    <mergeCell ref="A3:E3"/>
    <mergeCell ref="A4:E4"/>
    <mergeCell ref="A8:A28"/>
    <mergeCell ref="A30:A41"/>
    <mergeCell ref="A43:A45"/>
    <mergeCell ref="A87:A112"/>
    <mergeCell ref="A114:A117"/>
    <mergeCell ref="A119:A121"/>
    <mergeCell ref="A123:A130"/>
    <mergeCell ref="A52:A57"/>
    <mergeCell ref="A59:A61"/>
    <mergeCell ref="A63:A67"/>
    <mergeCell ref="A69:A74"/>
    <mergeCell ref="A76:A80"/>
    <mergeCell ref="A82:A8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&amp;L&amp;G</oddHeader>
    <oddFooter>&amp;L&amp;G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view="pageBreakPreview" topLeftCell="A185" zoomScaleNormal="100" zoomScaleSheetLayoutView="100" workbookViewId="0">
      <selection activeCell="A199" sqref="A199"/>
    </sheetView>
  </sheetViews>
  <sheetFormatPr baseColWidth="10" defaultRowHeight="15" x14ac:dyDescent="0.25"/>
  <cols>
    <col min="1" max="2" width="4.140625" customWidth="1"/>
    <col min="3" max="3" width="28.140625" customWidth="1"/>
    <col min="4" max="4" width="26.140625" customWidth="1"/>
    <col min="5" max="5" width="14.5703125" bestFit="1" customWidth="1"/>
    <col min="6" max="6" width="14.28515625" customWidth="1"/>
  </cols>
  <sheetData>
    <row r="1" spans="1:7" ht="19.5" customHeight="1" x14ac:dyDescent="0.25">
      <c r="A1" s="2566" t="s">
        <v>2724</v>
      </c>
      <c r="B1" s="2566"/>
      <c r="C1" s="2566"/>
      <c r="D1" s="2566"/>
      <c r="E1" s="2566"/>
      <c r="F1" s="2566"/>
      <c r="G1" s="2566"/>
    </row>
    <row r="2" spans="1:7" x14ac:dyDescent="0.25">
      <c r="A2" s="2568" t="s">
        <v>2415</v>
      </c>
      <c r="B2" s="2569"/>
      <c r="C2" s="2569"/>
      <c r="D2" s="2569"/>
      <c r="E2" s="2569"/>
      <c r="F2" s="2569"/>
      <c r="G2" s="2569"/>
    </row>
    <row r="3" spans="1:7" ht="16.5" customHeight="1" x14ac:dyDescent="0.25">
      <c r="A3" s="2569"/>
      <c r="B3" s="2569"/>
      <c r="C3" s="2569"/>
      <c r="D3" s="2569"/>
      <c r="E3" s="2569"/>
      <c r="F3" s="2569"/>
      <c r="G3" s="2569"/>
    </row>
    <row r="4" spans="1:7" ht="24" customHeight="1" x14ac:dyDescent="0.25">
      <c r="A4" s="1736" t="s">
        <v>2416</v>
      </c>
      <c r="B4" s="1736" t="s">
        <v>2417</v>
      </c>
      <c r="C4" s="1737" t="s">
        <v>2418</v>
      </c>
      <c r="D4" s="1738" t="s">
        <v>2419</v>
      </c>
      <c r="E4" s="1738" t="s">
        <v>2310</v>
      </c>
      <c r="F4" s="1738" t="s">
        <v>2311</v>
      </c>
      <c r="G4" s="1738" t="s">
        <v>2420</v>
      </c>
    </row>
    <row r="5" spans="1:7" ht="15" customHeight="1" x14ac:dyDescent="0.25">
      <c r="A5" s="1739" t="s">
        <v>2421</v>
      </c>
      <c r="B5" s="2570" t="s">
        <v>2422</v>
      </c>
      <c r="C5" s="2570"/>
      <c r="D5" s="1740"/>
      <c r="E5" s="1741">
        <f>+E6+E19+E21+E23+E25+E27+E29+E31+E46+E62+E81+E96+E109</f>
        <v>102018178</v>
      </c>
      <c r="F5" s="1742">
        <f>+F6+F19+F21+F23+F25+F27+F29+F31+F46+F62+F81+F96+F109</f>
        <v>27009009.919999998</v>
      </c>
      <c r="G5" s="1743">
        <f>+F5/E5*100</f>
        <v>26.474703282781618</v>
      </c>
    </row>
    <row r="6" spans="1:7" x14ac:dyDescent="0.25">
      <c r="A6" s="1744"/>
      <c r="B6" s="2571" t="s">
        <v>189</v>
      </c>
      <c r="C6" s="2571"/>
      <c r="D6" s="1745"/>
      <c r="E6" s="1746">
        <f>+E7+E9+E11+E13+E15+E17</f>
        <v>541273</v>
      </c>
      <c r="F6" s="1747">
        <f>+F7+F9+F11+F13+F15+F17</f>
        <v>186545.31</v>
      </c>
      <c r="G6" s="1748">
        <f>+F6/E6*100</f>
        <v>34.464181660640747</v>
      </c>
    </row>
    <row r="7" spans="1:7" x14ac:dyDescent="0.25">
      <c r="A7" s="1744"/>
      <c r="B7" s="1749"/>
      <c r="C7" s="1750" t="s">
        <v>190</v>
      </c>
      <c r="D7" s="1751"/>
      <c r="E7" s="1752">
        <f>SUM(E8)</f>
        <v>69700</v>
      </c>
      <c r="F7" s="1753">
        <f>SUM(F8)</f>
        <v>25698.51</v>
      </c>
      <c r="G7" s="1754">
        <f t="shared" ref="G7:G70" si="0">+F7/E7*100</f>
        <v>36.870172166427544</v>
      </c>
    </row>
    <row r="8" spans="1:7" ht="22.5" x14ac:dyDescent="0.25">
      <c r="A8" s="1744"/>
      <c r="B8" s="1749"/>
      <c r="C8" s="1750"/>
      <c r="D8" s="1755" t="s">
        <v>2379</v>
      </c>
      <c r="E8" s="1756">
        <v>69700</v>
      </c>
      <c r="F8" s="1757">
        <v>25698.51</v>
      </c>
      <c r="G8" s="1758">
        <f t="shared" si="0"/>
        <v>36.870172166427544</v>
      </c>
    </row>
    <row r="9" spans="1:7" x14ac:dyDescent="0.25">
      <c r="A9" s="1744"/>
      <c r="B9" s="1749"/>
      <c r="C9" s="1750" t="s">
        <v>192</v>
      </c>
      <c r="D9" s="1759"/>
      <c r="E9" s="1752">
        <f>SUM(E10)</f>
        <v>11300</v>
      </c>
      <c r="F9" s="1753">
        <f>SUM(F10)</f>
        <v>0</v>
      </c>
      <c r="G9" s="1754">
        <f t="shared" si="0"/>
        <v>0</v>
      </c>
    </row>
    <row r="10" spans="1:7" ht="22.5" x14ac:dyDescent="0.25">
      <c r="A10" s="1744"/>
      <c r="B10" s="1749"/>
      <c r="C10" s="1749"/>
      <c r="D10" s="1755" t="s">
        <v>2379</v>
      </c>
      <c r="E10" s="1756">
        <v>11300</v>
      </c>
      <c r="F10" s="1757">
        <v>0</v>
      </c>
      <c r="G10" s="1758">
        <f t="shared" si="0"/>
        <v>0</v>
      </c>
    </row>
    <row r="11" spans="1:7" x14ac:dyDescent="0.25">
      <c r="A11" s="1744"/>
      <c r="B11" s="1760"/>
      <c r="C11" s="1750" t="s">
        <v>2423</v>
      </c>
      <c r="D11" s="1751"/>
      <c r="E11" s="1752">
        <f>SUM(E12)</f>
        <v>51148</v>
      </c>
      <c r="F11" s="1753">
        <f>SUM(F12)</f>
        <v>9074.83</v>
      </c>
      <c r="G11" s="1754">
        <f t="shared" si="0"/>
        <v>17.742296864002501</v>
      </c>
    </row>
    <row r="12" spans="1:7" ht="22.5" x14ac:dyDescent="0.25">
      <c r="A12" s="1744"/>
      <c r="B12" s="1760"/>
      <c r="C12" s="1749"/>
      <c r="D12" s="1755" t="s">
        <v>2379</v>
      </c>
      <c r="E12" s="1761">
        <v>51148</v>
      </c>
      <c r="F12" s="1762">
        <v>9074.83</v>
      </c>
      <c r="G12" s="1758">
        <f t="shared" si="0"/>
        <v>17.742296864002501</v>
      </c>
    </row>
    <row r="13" spans="1:7" ht="22.5" x14ac:dyDescent="0.25">
      <c r="A13" s="1744"/>
      <c r="B13" s="1760"/>
      <c r="C13" s="1763" t="s">
        <v>2424</v>
      </c>
      <c r="D13" s="1759"/>
      <c r="E13" s="1752">
        <f>+E14</f>
        <v>11604</v>
      </c>
      <c r="F13" s="1753">
        <f>+F14</f>
        <v>7070.43</v>
      </c>
      <c r="G13" s="1754">
        <f t="shared" si="0"/>
        <v>60.930972078593591</v>
      </c>
    </row>
    <row r="14" spans="1:7" ht="22.5" x14ac:dyDescent="0.25">
      <c r="A14" s="1744"/>
      <c r="B14" s="1760"/>
      <c r="C14" s="1764"/>
      <c r="D14" s="1755" t="s">
        <v>2379</v>
      </c>
      <c r="E14" s="1761">
        <v>11604</v>
      </c>
      <c r="F14" s="1757">
        <v>7070.43</v>
      </c>
      <c r="G14" s="1758">
        <f t="shared" si="0"/>
        <v>60.930972078593591</v>
      </c>
    </row>
    <row r="15" spans="1:7" x14ac:dyDescent="0.25">
      <c r="A15" s="1744"/>
      <c r="B15" s="1760"/>
      <c r="C15" s="1765" t="s">
        <v>2384</v>
      </c>
      <c r="D15" s="1759"/>
      <c r="E15" s="1752">
        <f>SUM(E16)</f>
        <v>231840</v>
      </c>
      <c r="F15" s="1753">
        <f>SUM(F16)</f>
        <v>74478.78</v>
      </c>
      <c r="G15" s="1754">
        <f t="shared" si="0"/>
        <v>32.125077639751552</v>
      </c>
    </row>
    <row r="16" spans="1:7" ht="22.5" x14ac:dyDescent="0.25">
      <c r="A16" s="1744"/>
      <c r="B16" s="1760"/>
      <c r="C16" s="1765"/>
      <c r="D16" s="1755" t="s">
        <v>2379</v>
      </c>
      <c r="E16" s="1761">
        <v>231840</v>
      </c>
      <c r="F16" s="1762">
        <v>74478.78</v>
      </c>
      <c r="G16" s="1758">
        <f t="shared" si="0"/>
        <v>32.125077639751552</v>
      </c>
    </row>
    <row r="17" spans="1:7" ht="22.5" customHeight="1" x14ac:dyDescent="0.25">
      <c r="A17" s="1744"/>
      <c r="B17" s="1760"/>
      <c r="C17" s="1765" t="s">
        <v>2385</v>
      </c>
      <c r="D17" s="1766"/>
      <c r="E17" s="1752">
        <f>SUM(E18)</f>
        <v>165681</v>
      </c>
      <c r="F17" s="1753">
        <f>SUM(F18)</f>
        <v>70222.760000000009</v>
      </c>
      <c r="G17" s="1754">
        <f t="shared" si="0"/>
        <v>42.384316849850016</v>
      </c>
    </row>
    <row r="18" spans="1:7" ht="22.5" x14ac:dyDescent="0.25">
      <c r="A18" s="1744"/>
      <c r="B18" s="1760"/>
      <c r="C18" s="1767"/>
      <c r="D18" s="1755" t="s">
        <v>2379</v>
      </c>
      <c r="E18" s="1761">
        <v>165681</v>
      </c>
      <c r="F18" s="1762">
        <v>70222.760000000009</v>
      </c>
      <c r="G18" s="1758">
        <f t="shared" si="0"/>
        <v>42.384316849850016</v>
      </c>
    </row>
    <row r="19" spans="1:7" ht="15" customHeight="1" x14ac:dyDescent="0.25">
      <c r="A19" s="1768"/>
      <c r="B19" s="2572" t="s">
        <v>2425</v>
      </c>
      <c r="C19" s="2572"/>
      <c r="D19" s="1769"/>
      <c r="E19" s="1752">
        <f>SUM(E20)</f>
        <v>157353</v>
      </c>
      <c r="F19" s="1753">
        <f>SUM(F20)</f>
        <v>68952.569999999992</v>
      </c>
      <c r="G19" s="1754">
        <f t="shared" si="0"/>
        <v>43.82030847838935</v>
      </c>
    </row>
    <row r="20" spans="1:7" ht="22.5" x14ac:dyDescent="0.25">
      <c r="A20" s="1768"/>
      <c r="B20" s="1770"/>
      <c r="C20" s="1770"/>
      <c r="D20" s="1755" t="s">
        <v>2379</v>
      </c>
      <c r="E20" s="1761">
        <v>157353</v>
      </c>
      <c r="F20" s="1762">
        <v>68952.569999999992</v>
      </c>
      <c r="G20" s="1758">
        <f t="shared" si="0"/>
        <v>43.82030847838935</v>
      </c>
    </row>
    <row r="21" spans="1:7" ht="20.25" customHeight="1" x14ac:dyDescent="0.25">
      <c r="A21" s="1768"/>
      <c r="B21" s="2573" t="s">
        <v>2426</v>
      </c>
      <c r="C21" s="2573"/>
      <c r="D21" s="1769"/>
      <c r="E21" s="1752">
        <f>SUM(E22)</f>
        <v>199719</v>
      </c>
      <c r="F21" s="1753">
        <f>SUM(F22)</f>
        <v>96093.84</v>
      </c>
      <c r="G21" s="1754">
        <f t="shared" si="0"/>
        <v>48.114520901867117</v>
      </c>
    </row>
    <row r="22" spans="1:7" ht="45" x14ac:dyDescent="0.25">
      <c r="A22" s="1768"/>
      <c r="B22" s="1770"/>
      <c r="C22" s="1770"/>
      <c r="D22" s="1755" t="s">
        <v>2401</v>
      </c>
      <c r="E22" s="1771">
        <v>199719</v>
      </c>
      <c r="F22" s="1772">
        <v>96093.84</v>
      </c>
      <c r="G22" s="1758">
        <f t="shared" si="0"/>
        <v>48.114520901867117</v>
      </c>
    </row>
    <row r="23" spans="1:7" ht="15" customHeight="1" x14ac:dyDescent="0.25">
      <c r="A23" s="1768"/>
      <c r="B23" s="2572" t="s">
        <v>2427</v>
      </c>
      <c r="C23" s="2572"/>
      <c r="D23" s="1773"/>
      <c r="E23" s="1752">
        <f>SUM(E24)</f>
        <v>234025</v>
      </c>
      <c r="F23" s="1753">
        <f>SUM(F24)</f>
        <v>109426.54000000001</v>
      </c>
      <c r="G23" s="1754">
        <f t="shared" si="0"/>
        <v>46.758483068048292</v>
      </c>
    </row>
    <row r="24" spans="1:7" ht="45" x14ac:dyDescent="0.25">
      <c r="A24" s="1768"/>
      <c r="B24" s="1765"/>
      <c r="C24" s="1765"/>
      <c r="D24" s="1755" t="s">
        <v>2401</v>
      </c>
      <c r="E24" s="1771">
        <v>234025</v>
      </c>
      <c r="F24" s="1772">
        <v>109426.54000000001</v>
      </c>
      <c r="G24" s="1758">
        <f t="shared" si="0"/>
        <v>46.758483068048292</v>
      </c>
    </row>
    <row r="25" spans="1:7" ht="15" customHeight="1" x14ac:dyDescent="0.25">
      <c r="A25" s="1768"/>
      <c r="B25" s="2572" t="s">
        <v>2428</v>
      </c>
      <c r="C25" s="2572"/>
      <c r="D25" s="1773"/>
      <c r="E25" s="1752">
        <f>SUM(E26)</f>
        <v>317717</v>
      </c>
      <c r="F25" s="1753">
        <f>SUM(F26)</f>
        <v>167903.94000000003</v>
      </c>
      <c r="G25" s="1754">
        <f t="shared" si="0"/>
        <v>52.847011648731424</v>
      </c>
    </row>
    <row r="26" spans="1:7" ht="22.5" x14ac:dyDescent="0.25">
      <c r="A26" s="1768"/>
      <c r="B26" s="1765"/>
      <c r="C26" s="1765"/>
      <c r="D26" s="1755" t="s">
        <v>2379</v>
      </c>
      <c r="E26" s="1761">
        <v>317717</v>
      </c>
      <c r="F26" s="1762">
        <v>167903.94000000003</v>
      </c>
      <c r="G26" s="1758">
        <f t="shared" si="0"/>
        <v>52.847011648731424</v>
      </c>
    </row>
    <row r="27" spans="1:7" ht="15" customHeight="1" x14ac:dyDescent="0.25">
      <c r="A27" s="1768"/>
      <c r="B27" s="2572" t="s">
        <v>2429</v>
      </c>
      <c r="C27" s="2572"/>
      <c r="D27" s="1751"/>
      <c r="E27" s="1752">
        <f>+E28</f>
        <v>98668</v>
      </c>
      <c r="F27" s="1753">
        <f>+F28</f>
        <v>42666</v>
      </c>
      <c r="G27" s="1754">
        <f t="shared" si="0"/>
        <v>43.241983216443018</v>
      </c>
    </row>
    <row r="28" spans="1:7" ht="22.5" x14ac:dyDescent="0.25">
      <c r="A28" s="1768"/>
      <c r="B28" s="1765"/>
      <c r="C28" s="1765"/>
      <c r="D28" s="1755" t="s">
        <v>2379</v>
      </c>
      <c r="E28" s="1761">
        <v>98668</v>
      </c>
      <c r="F28" s="1762">
        <v>42666</v>
      </c>
      <c r="G28" s="1758">
        <f t="shared" si="0"/>
        <v>43.241983216443018</v>
      </c>
    </row>
    <row r="29" spans="1:7" ht="15" customHeight="1" x14ac:dyDescent="0.25">
      <c r="A29" s="1768"/>
      <c r="B29" s="2572" t="s">
        <v>2430</v>
      </c>
      <c r="C29" s="2572"/>
      <c r="D29" s="1774"/>
      <c r="E29" s="1752">
        <f>SUM(E30)</f>
        <v>2915553</v>
      </c>
      <c r="F29" s="1753">
        <f>SUM(F30)</f>
        <v>1032751.5599999999</v>
      </c>
      <c r="G29" s="1754">
        <f t="shared" si="0"/>
        <v>35.42215010325657</v>
      </c>
    </row>
    <row r="30" spans="1:7" ht="45" x14ac:dyDescent="0.25">
      <c r="A30" s="1768"/>
      <c r="B30" s="1765"/>
      <c r="C30" s="1765"/>
      <c r="D30" s="1755" t="s">
        <v>2406</v>
      </c>
      <c r="E30" s="1761">
        <v>2915553</v>
      </c>
      <c r="F30" s="1762">
        <v>1032751.5599999999</v>
      </c>
      <c r="G30" s="1758">
        <f t="shared" si="0"/>
        <v>35.42215010325657</v>
      </c>
    </row>
    <row r="31" spans="1:7" ht="15" customHeight="1" x14ac:dyDescent="0.25">
      <c r="A31" s="1775"/>
      <c r="B31" s="2567" t="s">
        <v>2431</v>
      </c>
      <c r="C31" s="2567"/>
      <c r="D31" s="1776"/>
      <c r="E31" s="1777">
        <f>+E32+E34+E36+E38+E40+E42+E44</f>
        <v>12482396</v>
      </c>
      <c r="F31" s="1743">
        <f>+F32+F34+F36+F38+F40+F42+F44</f>
        <v>5974464.0099999998</v>
      </c>
      <c r="G31" s="1778">
        <f t="shared" si="0"/>
        <v>47.863118667281505</v>
      </c>
    </row>
    <row r="32" spans="1:7" x14ac:dyDescent="0.25">
      <c r="A32" s="1775"/>
      <c r="B32" s="1779"/>
      <c r="C32" s="1765" t="s">
        <v>2389</v>
      </c>
      <c r="D32" s="1780"/>
      <c r="E32" s="1781">
        <f>+E33</f>
        <v>8130507</v>
      </c>
      <c r="F32" s="1782">
        <f>+F33</f>
        <v>3893127.8699999992</v>
      </c>
      <c r="G32" s="1754">
        <f t="shared" si="0"/>
        <v>47.882965601038151</v>
      </c>
    </row>
    <row r="33" spans="1:7" ht="22.5" x14ac:dyDescent="0.25">
      <c r="A33" s="1775"/>
      <c r="B33" s="1779"/>
      <c r="C33" s="1767"/>
      <c r="D33" s="1755" t="s">
        <v>2379</v>
      </c>
      <c r="E33" s="1761">
        <v>8130507</v>
      </c>
      <c r="F33" s="1762">
        <v>3893127.8699999992</v>
      </c>
      <c r="G33" s="1758">
        <f t="shared" si="0"/>
        <v>47.882965601038151</v>
      </c>
    </row>
    <row r="34" spans="1:7" ht="20.25" customHeight="1" x14ac:dyDescent="0.25">
      <c r="A34" s="1775"/>
      <c r="B34" s="1783"/>
      <c r="C34" s="1784" t="s">
        <v>2390</v>
      </c>
      <c r="D34" s="1759"/>
      <c r="E34" s="1781">
        <f>SUM(E35)</f>
        <v>1007248</v>
      </c>
      <c r="F34" s="1782">
        <f>SUM(F35)</f>
        <v>500732.77999999997</v>
      </c>
      <c r="G34" s="1754">
        <f t="shared" si="0"/>
        <v>49.712958476958995</v>
      </c>
    </row>
    <row r="35" spans="1:7" ht="22.5" x14ac:dyDescent="0.25">
      <c r="A35" s="1775"/>
      <c r="B35" s="1783"/>
      <c r="C35" s="1785"/>
      <c r="D35" s="1755" t="s">
        <v>2379</v>
      </c>
      <c r="E35" s="1761">
        <v>1007248</v>
      </c>
      <c r="F35" s="1762">
        <v>500732.77999999997</v>
      </c>
      <c r="G35" s="1758">
        <f t="shared" si="0"/>
        <v>49.712958476958995</v>
      </c>
    </row>
    <row r="36" spans="1:7" x14ac:dyDescent="0.25">
      <c r="A36" s="1775"/>
      <c r="B36" s="1783"/>
      <c r="C36" s="1784" t="s">
        <v>2391</v>
      </c>
      <c r="D36" s="1759"/>
      <c r="E36" s="1781">
        <f>SUM(E37)</f>
        <v>144693</v>
      </c>
      <c r="F36" s="1782">
        <f>SUM(F37)</f>
        <v>64526</v>
      </c>
      <c r="G36" s="1754">
        <f t="shared" si="0"/>
        <v>44.595108263703146</v>
      </c>
    </row>
    <row r="37" spans="1:7" ht="22.5" x14ac:dyDescent="0.25">
      <c r="A37" s="1775"/>
      <c r="B37" s="1783"/>
      <c r="C37" s="1786"/>
      <c r="D37" s="1755" t="s">
        <v>2379</v>
      </c>
      <c r="E37" s="1761">
        <v>144693</v>
      </c>
      <c r="F37" s="1762">
        <v>64526</v>
      </c>
      <c r="G37" s="1758">
        <f t="shared" si="0"/>
        <v>44.595108263703146</v>
      </c>
    </row>
    <row r="38" spans="1:7" x14ac:dyDescent="0.25">
      <c r="A38" s="1775"/>
      <c r="B38" s="1783"/>
      <c r="C38" s="1784" t="s">
        <v>2392</v>
      </c>
      <c r="D38" s="1759"/>
      <c r="E38" s="1781">
        <f>SUM(E39)</f>
        <v>1541560</v>
      </c>
      <c r="F38" s="1782">
        <f>SUM(F39)</f>
        <v>781199.87</v>
      </c>
      <c r="G38" s="1754">
        <f t="shared" si="0"/>
        <v>50.675930226523782</v>
      </c>
    </row>
    <row r="39" spans="1:7" ht="22.5" x14ac:dyDescent="0.25">
      <c r="A39" s="1775"/>
      <c r="B39" s="1783"/>
      <c r="C39" s="1786"/>
      <c r="D39" s="1755" t="s">
        <v>2379</v>
      </c>
      <c r="E39" s="1761">
        <v>1541560</v>
      </c>
      <c r="F39" s="1762">
        <v>781199.87</v>
      </c>
      <c r="G39" s="1758">
        <f t="shared" si="0"/>
        <v>50.675930226523782</v>
      </c>
    </row>
    <row r="40" spans="1:7" x14ac:dyDescent="0.25">
      <c r="A40" s="1775"/>
      <c r="B40" s="1783"/>
      <c r="C40" s="1784" t="s">
        <v>2393</v>
      </c>
      <c r="D40" s="1759"/>
      <c r="E40" s="1781">
        <f>SUM(E41)</f>
        <v>145573</v>
      </c>
      <c r="F40" s="1782">
        <f>SUM(F41)</f>
        <v>73489.86</v>
      </c>
      <c r="G40" s="1754">
        <f t="shared" si="0"/>
        <v>50.483166521264245</v>
      </c>
    </row>
    <row r="41" spans="1:7" ht="22.5" x14ac:dyDescent="0.25">
      <c r="A41" s="1775"/>
      <c r="B41" s="1783"/>
      <c r="C41" s="1786"/>
      <c r="D41" s="1755" t="s">
        <v>2379</v>
      </c>
      <c r="E41" s="1761">
        <v>145573</v>
      </c>
      <c r="F41" s="1762">
        <v>73489.86</v>
      </c>
      <c r="G41" s="1758">
        <f t="shared" si="0"/>
        <v>50.483166521264245</v>
      </c>
    </row>
    <row r="42" spans="1:7" x14ac:dyDescent="0.25">
      <c r="A42" s="1775"/>
      <c r="B42" s="1783"/>
      <c r="C42" s="1784" t="s">
        <v>2394</v>
      </c>
      <c r="D42" s="1759"/>
      <c r="E42" s="1781">
        <f>SUM(E43)</f>
        <v>67682</v>
      </c>
      <c r="F42" s="1782">
        <f>SUM(F43)</f>
        <v>26036</v>
      </c>
      <c r="G42" s="1754">
        <f t="shared" si="0"/>
        <v>38.468130374397916</v>
      </c>
    </row>
    <row r="43" spans="1:7" ht="22.5" x14ac:dyDescent="0.25">
      <c r="A43" s="1775"/>
      <c r="B43" s="1783"/>
      <c r="C43" s="1786"/>
      <c r="D43" s="1755" t="s">
        <v>2379</v>
      </c>
      <c r="E43" s="1761">
        <v>67682</v>
      </c>
      <c r="F43" s="1762">
        <v>26036</v>
      </c>
      <c r="G43" s="1758">
        <f t="shared" si="0"/>
        <v>38.468130374397916</v>
      </c>
    </row>
    <row r="44" spans="1:7" x14ac:dyDescent="0.25">
      <c r="A44" s="1775"/>
      <c r="B44" s="1783"/>
      <c r="C44" s="1784" t="s">
        <v>668</v>
      </c>
      <c r="D44" s="1759"/>
      <c r="E44" s="1781">
        <f>SUM(E45)</f>
        <v>1445133</v>
      </c>
      <c r="F44" s="1782">
        <f>SUM(F45)</f>
        <v>635351.63</v>
      </c>
      <c r="G44" s="1754">
        <f t="shared" si="0"/>
        <v>43.964924335683982</v>
      </c>
    </row>
    <row r="45" spans="1:7" ht="27" customHeight="1" x14ac:dyDescent="0.25">
      <c r="A45" s="1775"/>
      <c r="B45" s="1783"/>
      <c r="C45" s="1785"/>
      <c r="D45" s="1755" t="s">
        <v>2379</v>
      </c>
      <c r="E45" s="1761">
        <v>1445133</v>
      </c>
      <c r="F45" s="1762">
        <v>635351.63</v>
      </c>
      <c r="G45" s="1758">
        <f t="shared" si="0"/>
        <v>43.964924335683982</v>
      </c>
    </row>
    <row r="46" spans="1:7" ht="24" customHeight="1" x14ac:dyDescent="0.25">
      <c r="A46" s="1775"/>
      <c r="B46" s="2567" t="s">
        <v>374</v>
      </c>
      <c r="C46" s="2567"/>
      <c r="D46" s="1787"/>
      <c r="E46" s="1788">
        <f>+E47+E52+E54+E56+E58+E60</f>
        <v>8641797</v>
      </c>
      <c r="F46" s="1789">
        <f>+F47+F52+F54+F56+F58+F60</f>
        <v>1744636.1400000001</v>
      </c>
      <c r="G46" s="1778">
        <f t="shared" si="0"/>
        <v>20.188349020464148</v>
      </c>
    </row>
    <row r="47" spans="1:7" x14ac:dyDescent="0.25">
      <c r="A47" s="1775"/>
      <c r="B47" s="1775"/>
      <c r="C47" s="1790" t="s">
        <v>2432</v>
      </c>
      <c r="D47" s="1791"/>
      <c r="E47" s="1781">
        <f>SUM(E48:E51)</f>
        <v>5718535</v>
      </c>
      <c r="F47" s="1782">
        <f>SUM(F48:F51)</f>
        <v>762388</v>
      </c>
      <c r="G47" s="1754">
        <f t="shared" si="0"/>
        <v>13.331876083647298</v>
      </c>
    </row>
    <row r="48" spans="1:7" ht="67.5" x14ac:dyDescent="0.25">
      <c r="A48" s="1775"/>
      <c r="B48" s="1775"/>
      <c r="C48" s="1792"/>
      <c r="D48" s="1785" t="s">
        <v>2433</v>
      </c>
      <c r="E48" s="1793">
        <f>268327+2761971</f>
        <v>3030298</v>
      </c>
      <c r="F48" s="1762">
        <f>130404+414584</f>
        <v>544988</v>
      </c>
      <c r="G48" s="1758">
        <f t="shared" si="0"/>
        <v>17.984633854492198</v>
      </c>
    </row>
    <row r="49" spans="1:7" ht="33.75" x14ac:dyDescent="0.25">
      <c r="A49" s="1775"/>
      <c r="B49" s="1775"/>
      <c r="C49" s="76"/>
      <c r="D49" s="1794" t="s">
        <v>2361</v>
      </c>
      <c r="E49" s="1795">
        <v>212870</v>
      </c>
      <c r="F49" s="1796">
        <v>0</v>
      </c>
      <c r="G49" s="1758">
        <f t="shared" si="0"/>
        <v>0</v>
      </c>
    </row>
    <row r="50" spans="1:7" ht="56.25" x14ac:dyDescent="0.25">
      <c r="A50" s="1775"/>
      <c r="B50" s="1775"/>
      <c r="C50" s="1775"/>
      <c r="D50" s="1785" t="s">
        <v>2369</v>
      </c>
      <c r="E50" s="1795">
        <f>1767568+70000</f>
        <v>1837568</v>
      </c>
      <c r="F50" s="1796">
        <f>181796</f>
        <v>181796</v>
      </c>
      <c r="G50" s="1758">
        <f t="shared" si="0"/>
        <v>9.8932937447757041</v>
      </c>
    </row>
    <row r="51" spans="1:7" ht="56.25" x14ac:dyDescent="0.25">
      <c r="A51" s="1775"/>
      <c r="B51" s="1775"/>
      <c r="C51" s="1775"/>
      <c r="D51" s="1785" t="s">
        <v>2434</v>
      </c>
      <c r="E51" s="1795">
        <f>521973+115826</f>
        <v>637799</v>
      </c>
      <c r="F51" s="1796">
        <f>9321+26283</f>
        <v>35604</v>
      </c>
      <c r="G51" s="1758">
        <f t="shared" si="0"/>
        <v>5.5823229575461859</v>
      </c>
    </row>
    <row r="52" spans="1:7" x14ac:dyDescent="0.25">
      <c r="A52" s="1775"/>
      <c r="B52" s="1797"/>
      <c r="C52" s="1750" t="s">
        <v>2435</v>
      </c>
      <c r="D52" s="1798"/>
      <c r="E52" s="1781">
        <f>+E53</f>
        <v>35932</v>
      </c>
      <c r="F52" s="1782">
        <f>SUM(F53:F53)</f>
        <v>12696.18</v>
      </c>
      <c r="G52" s="1754">
        <f t="shared" si="0"/>
        <v>35.333908493821667</v>
      </c>
    </row>
    <row r="53" spans="1:7" ht="56.25" x14ac:dyDescent="0.25">
      <c r="A53" s="1775"/>
      <c r="B53" s="1797"/>
      <c r="C53" s="1799"/>
      <c r="D53" s="1785" t="s">
        <v>2369</v>
      </c>
      <c r="E53" s="1761">
        <v>35932</v>
      </c>
      <c r="F53" s="1762">
        <v>12696.18</v>
      </c>
      <c r="G53" s="1758">
        <f t="shared" si="0"/>
        <v>35.333908493821667</v>
      </c>
    </row>
    <row r="54" spans="1:7" x14ac:dyDescent="0.25">
      <c r="A54" s="1768"/>
      <c r="B54" s="1800"/>
      <c r="C54" s="1750" t="s">
        <v>2357</v>
      </c>
      <c r="D54" s="1798"/>
      <c r="E54" s="1781">
        <f>SUM(E55)</f>
        <v>65974</v>
      </c>
      <c r="F54" s="1782">
        <f>SUM(F55)</f>
        <v>28467.829999999998</v>
      </c>
      <c r="G54" s="1754">
        <f t="shared" si="0"/>
        <v>43.150074271682783</v>
      </c>
    </row>
    <row r="55" spans="1:7" ht="67.5" x14ac:dyDescent="0.25">
      <c r="A55" s="1775"/>
      <c r="B55" s="1797"/>
      <c r="C55" s="1799"/>
      <c r="D55" s="1785" t="s">
        <v>2433</v>
      </c>
      <c r="E55" s="1761">
        <v>65974</v>
      </c>
      <c r="F55" s="1762">
        <v>28467.829999999998</v>
      </c>
      <c r="G55" s="1758">
        <f t="shared" si="0"/>
        <v>43.150074271682783</v>
      </c>
    </row>
    <row r="56" spans="1:7" ht="22.5" x14ac:dyDescent="0.25">
      <c r="A56" s="1775"/>
      <c r="B56" s="1797"/>
      <c r="C56" s="1784" t="s">
        <v>2363</v>
      </c>
      <c r="D56" s="1801"/>
      <c r="E56" s="1781">
        <f>+E57</f>
        <v>829034</v>
      </c>
      <c r="F56" s="1782">
        <f>+F57</f>
        <v>409238.63000000006</v>
      </c>
      <c r="G56" s="1754">
        <f t="shared" si="0"/>
        <v>49.363310793043482</v>
      </c>
    </row>
    <row r="57" spans="1:7" ht="33.75" x14ac:dyDescent="0.25">
      <c r="A57" s="1775"/>
      <c r="B57" s="1797"/>
      <c r="C57" s="1785"/>
      <c r="D57" s="1802" t="s">
        <v>2361</v>
      </c>
      <c r="E57" s="1761">
        <v>829034</v>
      </c>
      <c r="F57" s="1762">
        <v>409238.63000000006</v>
      </c>
      <c r="G57" s="1758">
        <f t="shared" si="0"/>
        <v>49.363310793043482</v>
      </c>
    </row>
    <row r="58" spans="1:7" x14ac:dyDescent="0.25">
      <c r="A58" s="1775"/>
      <c r="B58" s="1803"/>
      <c r="C58" s="1804" t="s">
        <v>2375</v>
      </c>
      <c r="D58" s="1805"/>
      <c r="E58" s="1781">
        <f>SUM(E59:E59)</f>
        <v>1112959</v>
      </c>
      <c r="F58" s="1782">
        <f>SUM(F59:F59)</f>
        <v>189423.82000000004</v>
      </c>
      <c r="G58" s="1754">
        <f t="shared" si="0"/>
        <v>17.019838107243846</v>
      </c>
    </row>
    <row r="59" spans="1:7" ht="33.75" x14ac:dyDescent="0.25">
      <c r="A59" s="1775"/>
      <c r="B59" s="1803"/>
      <c r="C59" s="1806"/>
      <c r="D59" s="1755" t="s">
        <v>2436</v>
      </c>
      <c r="E59" s="1761">
        <v>1112959</v>
      </c>
      <c r="F59" s="1762">
        <v>189423.82000000004</v>
      </c>
      <c r="G59" s="1758">
        <f t="shared" si="0"/>
        <v>17.019838107243846</v>
      </c>
    </row>
    <row r="60" spans="1:7" x14ac:dyDescent="0.25">
      <c r="A60" s="1775"/>
      <c r="B60" s="1803"/>
      <c r="C60" s="1804" t="s">
        <v>2358</v>
      </c>
      <c r="D60" s="1807"/>
      <c r="E60" s="1781">
        <f>SUM(E61)</f>
        <v>879363</v>
      </c>
      <c r="F60" s="1782">
        <f>SUM(F61)</f>
        <v>342421.68000000005</v>
      </c>
      <c r="G60" s="1754">
        <f t="shared" si="0"/>
        <v>38.93974160841428</v>
      </c>
    </row>
    <row r="61" spans="1:7" ht="67.5" x14ac:dyDescent="0.25">
      <c r="A61" s="1775"/>
      <c r="B61" s="1803"/>
      <c r="C61" s="1806"/>
      <c r="D61" s="1785" t="s">
        <v>2433</v>
      </c>
      <c r="E61" s="1761">
        <v>879363</v>
      </c>
      <c r="F61" s="1762">
        <v>342421.68000000005</v>
      </c>
      <c r="G61" s="1758">
        <f t="shared" si="0"/>
        <v>38.93974160841428</v>
      </c>
    </row>
    <row r="62" spans="1:7" ht="15" customHeight="1" x14ac:dyDescent="0.25">
      <c r="A62" s="1775"/>
      <c r="B62" s="2567" t="s">
        <v>72</v>
      </c>
      <c r="C62" s="2567"/>
      <c r="D62" s="1808"/>
      <c r="E62" s="1788">
        <f>+E63+E66+E68+E71+E73+E75+E77+E79</f>
        <v>6341406</v>
      </c>
      <c r="F62" s="1789">
        <f>+F63+F66+F68+F71+F73+F75+F77+F79</f>
        <v>2027118.7299999997</v>
      </c>
      <c r="G62" s="1778">
        <f t="shared" si="0"/>
        <v>31.966392468799505</v>
      </c>
    </row>
    <row r="63" spans="1:7" x14ac:dyDescent="0.25">
      <c r="A63" s="1809"/>
      <c r="B63" s="1779"/>
      <c r="C63" s="1810" t="s">
        <v>2437</v>
      </c>
      <c r="D63" s="1811"/>
      <c r="E63" s="1812">
        <f>SUM(E64:E65)</f>
        <v>1827317</v>
      </c>
      <c r="F63" s="1813">
        <f>SUM(F64:F65)</f>
        <v>169597</v>
      </c>
      <c r="G63" s="1754">
        <f t="shared" si="0"/>
        <v>9.2812029877684061</v>
      </c>
    </row>
    <row r="64" spans="1:7" ht="22.5" x14ac:dyDescent="0.25">
      <c r="A64" s="1809"/>
      <c r="B64" s="1779"/>
      <c r="C64" s="1765"/>
      <c r="D64" s="1814" t="s">
        <v>2438</v>
      </c>
      <c r="E64" s="1815">
        <f>151279+126956+80000</f>
        <v>358235</v>
      </c>
      <c r="F64" s="1816">
        <f>68090+71132</f>
        <v>139222</v>
      </c>
      <c r="G64" s="1758">
        <f t="shared" si="0"/>
        <v>38.863315979733976</v>
      </c>
    </row>
    <row r="65" spans="1:7" ht="56.25" x14ac:dyDescent="0.25">
      <c r="A65" s="1809"/>
      <c r="B65" s="1779"/>
      <c r="C65" s="1765"/>
      <c r="D65" s="1814" t="s">
        <v>2434</v>
      </c>
      <c r="E65" s="1761">
        <f>1075000+394082</f>
        <v>1469082</v>
      </c>
      <c r="F65" s="1762">
        <f>25411+4964</f>
        <v>30375</v>
      </c>
      <c r="G65" s="1758">
        <f t="shared" si="0"/>
        <v>2.0676177367907305</v>
      </c>
    </row>
    <row r="66" spans="1:7" x14ac:dyDescent="0.25">
      <c r="A66" s="1775"/>
      <c r="B66" s="1797"/>
      <c r="C66" s="1810" t="s">
        <v>2314</v>
      </c>
      <c r="D66" s="1817"/>
      <c r="E66" s="1812">
        <f>+E67</f>
        <v>778221</v>
      </c>
      <c r="F66" s="1813">
        <f>+F67</f>
        <v>755903.14</v>
      </c>
      <c r="G66" s="1754">
        <f t="shared" si="0"/>
        <v>97.132195096251579</v>
      </c>
    </row>
    <row r="67" spans="1:7" ht="56.25" x14ac:dyDescent="0.25">
      <c r="A67" s="1775"/>
      <c r="B67" s="1797"/>
      <c r="C67" s="1767"/>
      <c r="D67" s="1794" t="s">
        <v>2313</v>
      </c>
      <c r="E67" s="1761">
        <v>778221</v>
      </c>
      <c r="F67" s="1762">
        <v>755903.14</v>
      </c>
      <c r="G67" s="1758">
        <f t="shared" si="0"/>
        <v>97.132195096251579</v>
      </c>
    </row>
    <row r="68" spans="1:7" x14ac:dyDescent="0.25">
      <c r="A68" s="1775"/>
      <c r="B68" s="1797"/>
      <c r="C68" s="1818" t="s">
        <v>2439</v>
      </c>
      <c r="D68" s="1801"/>
      <c r="E68" s="1812">
        <f>SUM(E69:E70)</f>
        <v>266363</v>
      </c>
      <c r="F68" s="1813">
        <f>SUM(F69:F70)</f>
        <v>73932</v>
      </c>
      <c r="G68" s="1754">
        <f t="shared" si="0"/>
        <v>27.756107267150465</v>
      </c>
    </row>
    <row r="69" spans="1:7" ht="56.25" x14ac:dyDescent="0.25">
      <c r="A69" s="1775"/>
      <c r="B69" s="1797"/>
      <c r="C69" s="1786"/>
      <c r="D69" s="1755" t="s">
        <v>2335</v>
      </c>
      <c r="E69" s="1771">
        <v>155829</v>
      </c>
      <c r="F69" s="1772">
        <v>28230</v>
      </c>
      <c r="G69" s="1758">
        <f t="shared" si="0"/>
        <v>18.116011782145812</v>
      </c>
    </row>
    <row r="70" spans="1:7" ht="78" customHeight="1" x14ac:dyDescent="0.25">
      <c r="A70" s="1775"/>
      <c r="B70" s="1797"/>
      <c r="C70" s="1786"/>
      <c r="D70" s="1755" t="s">
        <v>2335</v>
      </c>
      <c r="E70" s="1761">
        <v>110534</v>
      </c>
      <c r="F70" s="1762">
        <v>45702</v>
      </c>
      <c r="G70" s="1758">
        <f t="shared" si="0"/>
        <v>41.346554001483703</v>
      </c>
    </row>
    <row r="71" spans="1:7" ht="22.5" x14ac:dyDescent="0.25">
      <c r="A71" s="1775"/>
      <c r="B71" s="1797"/>
      <c r="C71" s="1810" t="s">
        <v>2315</v>
      </c>
      <c r="D71" s="1801"/>
      <c r="E71" s="1812">
        <f>SUM(E72)</f>
        <v>200988</v>
      </c>
      <c r="F71" s="1813">
        <f>SUM(F72)</f>
        <v>86214.81</v>
      </c>
      <c r="G71" s="1754">
        <f t="shared" ref="G71:G148" si="1">+F71/E71*100</f>
        <v>42.895501223953673</v>
      </c>
    </row>
    <row r="72" spans="1:7" ht="56.25" x14ac:dyDescent="0.25">
      <c r="A72" s="1775"/>
      <c r="B72" s="1797"/>
      <c r="C72" s="1767"/>
      <c r="D72" s="1794" t="s">
        <v>2313</v>
      </c>
      <c r="E72" s="1819">
        <v>200988</v>
      </c>
      <c r="F72" s="1796">
        <v>86214.81</v>
      </c>
      <c r="G72" s="1758">
        <f t="shared" si="1"/>
        <v>42.895501223953673</v>
      </c>
    </row>
    <row r="73" spans="1:7" ht="22.5" x14ac:dyDescent="0.25">
      <c r="A73" s="1775"/>
      <c r="B73" s="1797"/>
      <c r="C73" s="1810" t="s">
        <v>2440</v>
      </c>
      <c r="D73" s="1801"/>
      <c r="E73" s="1812">
        <f>SUM(E74)</f>
        <v>73263</v>
      </c>
      <c r="F73" s="1813">
        <f>SUM(F74)</f>
        <v>35103.64</v>
      </c>
      <c r="G73" s="1754">
        <f t="shared" si="1"/>
        <v>47.91455441355118</v>
      </c>
    </row>
    <row r="74" spans="1:7" ht="78.75" x14ac:dyDescent="0.25">
      <c r="A74" s="1775"/>
      <c r="B74" s="1797"/>
      <c r="C74" s="1767"/>
      <c r="D74" s="1814" t="s">
        <v>2351</v>
      </c>
      <c r="E74" s="1761">
        <v>73263</v>
      </c>
      <c r="F74" s="1762">
        <v>35103.64</v>
      </c>
      <c r="G74" s="1758">
        <f t="shared" si="1"/>
        <v>47.91455441355118</v>
      </c>
    </row>
    <row r="75" spans="1:7" x14ac:dyDescent="0.25">
      <c r="A75" s="1775"/>
      <c r="B75" s="1803"/>
      <c r="C75" s="1820" t="s">
        <v>2353</v>
      </c>
      <c r="D75" s="1801"/>
      <c r="E75" s="1812">
        <f>SUM(E76)</f>
        <v>740148</v>
      </c>
      <c r="F75" s="1813">
        <f>SUM(F76)</f>
        <v>326673</v>
      </c>
      <c r="G75" s="1754">
        <f t="shared" si="1"/>
        <v>44.136172765446915</v>
      </c>
    </row>
    <row r="76" spans="1:7" ht="78.75" x14ac:dyDescent="0.25">
      <c r="A76" s="1775"/>
      <c r="B76" s="1803"/>
      <c r="C76" s="1821"/>
      <c r="D76" s="1814" t="s">
        <v>2351</v>
      </c>
      <c r="E76" s="1771">
        <v>740148</v>
      </c>
      <c r="F76" s="1772">
        <v>326673</v>
      </c>
      <c r="G76" s="1758">
        <f t="shared" si="1"/>
        <v>44.136172765446915</v>
      </c>
    </row>
    <row r="77" spans="1:7" x14ac:dyDescent="0.25">
      <c r="A77" s="1775"/>
      <c r="B77" s="1803"/>
      <c r="C77" s="1822" t="s">
        <v>2441</v>
      </c>
      <c r="D77" s="1801"/>
      <c r="E77" s="1812">
        <f>+E78</f>
        <v>250666</v>
      </c>
      <c r="F77" s="1813">
        <f>+F78</f>
        <v>87287.38</v>
      </c>
      <c r="G77" s="1754">
        <f t="shared" si="1"/>
        <v>34.822185697302388</v>
      </c>
    </row>
    <row r="78" spans="1:7" ht="56.25" x14ac:dyDescent="0.25">
      <c r="A78" s="1775"/>
      <c r="B78" s="1803"/>
      <c r="C78" s="1823"/>
      <c r="D78" s="1794" t="s">
        <v>2313</v>
      </c>
      <c r="E78" s="1761">
        <v>250666</v>
      </c>
      <c r="F78" s="1762">
        <v>87287.38</v>
      </c>
      <c r="G78" s="1758">
        <f t="shared" si="1"/>
        <v>34.822185697302388</v>
      </c>
    </row>
    <row r="79" spans="1:7" ht="22.5" x14ac:dyDescent="0.25">
      <c r="A79" s="1775"/>
      <c r="B79" s="1803"/>
      <c r="C79" s="1820" t="s">
        <v>2355</v>
      </c>
      <c r="D79" s="1801"/>
      <c r="E79" s="1812">
        <f>SUM(E80)</f>
        <v>2204440</v>
      </c>
      <c r="F79" s="1813">
        <f>SUM(F80)</f>
        <v>492407.76</v>
      </c>
      <c r="G79" s="1754">
        <f t="shared" si="1"/>
        <v>22.337090598972985</v>
      </c>
    </row>
    <row r="80" spans="1:7" ht="33.75" x14ac:dyDescent="0.25">
      <c r="A80" s="1775"/>
      <c r="B80" s="1803"/>
      <c r="C80" s="1821"/>
      <c r="D80" s="1755" t="s">
        <v>2354</v>
      </c>
      <c r="E80" s="1761">
        <v>2204440</v>
      </c>
      <c r="F80" s="1762">
        <v>492407.76</v>
      </c>
      <c r="G80" s="1758">
        <f t="shared" si="1"/>
        <v>22.337090598972985</v>
      </c>
    </row>
    <row r="81" spans="1:7" ht="15" customHeight="1" x14ac:dyDescent="0.25">
      <c r="A81" s="1775"/>
      <c r="B81" s="2558" t="s">
        <v>2116</v>
      </c>
      <c r="C81" s="2559"/>
      <c r="D81" s="1824"/>
      <c r="E81" s="1825">
        <f>+E83+E88+E90+E82</f>
        <v>58940165</v>
      </c>
      <c r="F81" s="1826">
        <f>+F83+F88+F90+F82</f>
        <v>13297712.9</v>
      </c>
      <c r="G81" s="1778">
        <f t="shared" si="1"/>
        <v>22.56137711864227</v>
      </c>
    </row>
    <row r="82" spans="1:7" ht="22.5" x14ac:dyDescent="0.25">
      <c r="A82" s="1775"/>
      <c r="B82" s="1827"/>
      <c r="C82" s="1810" t="s">
        <v>2442</v>
      </c>
      <c r="D82" s="1814" t="s">
        <v>2438</v>
      </c>
      <c r="E82" s="1761">
        <v>2274940</v>
      </c>
      <c r="F82" s="1762">
        <v>642260.78</v>
      </c>
      <c r="G82" s="1758">
        <f>+F82/E82*100</f>
        <v>28.231987656817324</v>
      </c>
    </row>
    <row r="83" spans="1:7" x14ac:dyDescent="0.25">
      <c r="A83" s="1775"/>
      <c r="B83" s="1797"/>
      <c r="C83" s="1810" t="s">
        <v>2443</v>
      </c>
      <c r="D83" s="1828"/>
      <c r="E83" s="1781">
        <f>SUM(E84:E87)</f>
        <v>563855</v>
      </c>
      <c r="F83" s="1782">
        <f>SUM(F84:F87)</f>
        <v>77756.639999999999</v>
      </c>
      <c r="G83" s="1754">
        <f t="shared" si="1"/>
        <v>13.790183646504865</v>
      </c>
    </row>
    <row r="84" spans="1:7" ht="56.25" x14ac:dyDescent="0.25">
      <c r="A84" s="1775"/>
      <c r="B84" s="1797"/>
      <c r="C84" s="1829"/>
      <c r="D84" s="1794" t="s">
        <v>2335</v>
      </c>
      <c r="E84" s="1761">
        <v>5600</v>
      </c>
      <c r="F84" s="1762">
        <v>0</v>
      </c>
      <c r="G84" s="1758">
        <f t="shared" si="1"/>
        <v>0</v>
      </c>
    </row>
    <row r="85" spans="1:7" ht="56.25" x14ac:dyDescent="0.25">
      <c r="A85" s="1775"/>
      <c r="B85" s="1797"/>
      <c r="C85" s="1829"/>
      <c r="D85" s="1794" t="s">
        <v>2348</v>
      </c>
      <c r="E85" s="1761">
        <v>8000</v>
      </c>
      <c r="F85" s="1762">
        <v>0</v>
      </c>
      <c r="G85" s="1758">
        <f t="shared" si="1"/>
        <v>0</v>
      </c>
    </row>
    <row r="86" spans="1:7" ht="56.25" x14ac:dyDescent="0.25">
      <c r="A86" s="1775"/>
      <c r="B86" s="1797"/>
      <c r="C86" s="1829"/>
      <c r="D86" s="1794" t="s">
        <v>2364</v>
      </c>
      <c r="E86" s="1761">
        <v>121600</v>
      </c>
      <c r="F86" s="1762">
        <v>14013.75</v>
      </c>
      <c r="G86" s="1758">
        <f t="shared" si="1"/>
        <v>11.524465460526317</v>
      </c>
    </row>
    <row r="87" spans="1:7" ht="56.25" x14ac:dyDescent="0.25">
      <c r="A87" s="1775"/>
      <c r="B87" s="1797"/>
      <c r="C87" s="1829"/>
      <c r="D87" s="1794" t="s">
        <v>2367</v>
      </c>
      <c r="E87" s="1761">
        <v>428655</v>
      </c>
      <c r="F87" s="1762">
        <v>63742.89</v>
      </c>
      <c r="G87" s="1758">
        <f t="shared" si="1"/>
        <v>14.870441263953529</v>
      </c>
    </row>
    <row r="88" spans="1:7" x14ac:dyDescent="0.25">
      <c r="A88" s="1775"/>
      <c r="B88" s="1797"/>
      <c r="C88" s="1818" t="s">
        <v>2444</v>
      </c>
      <c r="D88" s="1830"/>
      <c r="E88" s="1781">
        <f>+E89</f>
        <v>35374006</v>
      </c>
      <c r="F88" s="1782">
        <f>+F89</f>
        <v>2123524.5</v>
      </c>
      <c r="G88" s="1754">
        <f t="shared" si="1"/>
        <v>6.0030647928312106</v>
      </c>
    </row>
    <row r="89" spans="1:7" ht="87" customHeight="1" x14ac:dyDescent="0.25">
      <c r="A89" s="1775"/>
      <c r="B89" s="1797"/>
      <c r="C89" s="1733"/>
      <c r="D89" s="1755" t="s">
        <v>2408</v>
      </c>
      <c r="E89" s="1831">
        <v>35374006</v>
      </c>
      <c r="F89" s="1832">
        <v>2123524.5</v>
      </c>
      <c r="G89" s="1758">
        <f t="shared" si="1"/>
        <v>6.0030647928312106</v>
      </c>
    </row>
    <row r="90" spans="1:7" ht="22.5" x14ac:dyDescent="0.25">
      <c r="A90" s="1775"/>
      <c r="B90" s="1797"/>
      <c r="C90" s="1818" t="s">
        <v>2445</v>
      </c>
      <c r="D90" s="1755"/>
      <c r="E90" s="1781">
        <f>SUM(E91:E94)</f>
        <v>20727364</v>
      </c>
      <c r="F90" s="1782">
        <f>SUM(F91:F94)</f>
        <v>10454170.98</v>
      </c>
      <c r="G90" s="1754">
        <f t="shared" si="1"/>
        <v>50.4365677179211</v>
      </c>
    </row>
    <row r="91" spans="1:7" ht="56.25" x14ac:dyDescent="0.25">
      <c r="A91" s="1775"/>
      <c r="B91" s="1797"/>
      <c r="C91" s="1833"/>
      <c r="D91" s="1755" t="s">
        <v>2446</v>
      </c>
      <c r="E91" s="1761">
        <v>10700038</v>
      </c>
      <c r="F91" s="1762">
        <v>3059218.6</v>
      </c>
      <c r="G91" s="1758">
        <f t="shared" si="1"/>
        <v>28.590726500223646</v>
      </c>
    </row>
    <row r="92" spans="1:7" ht="56.25" x14ac:dyDescent="0.25">
      <c r="A92" s="1775"/>
      <c r="B92" s="1797"/>
      <c r="C92" s="1833"/>
      <c r="D92" s="1794" t="s">
        <v>2364</v>
      </c>
      <c r="E92" s="1761">
        <v>2848264</v>
      </c>
      <c r="F92" s="1762">
        <v>1328795.99</v>
      </c>
      <c r="G92" s="1758">
        <f t="shared" si="1"/>
        <v>46.652838009398003</v>
      </c>
    </row>
    <row r="93" spans="1:7" ht="56.25" x14ac:dyDescent="0.25">
      <c r="A93" s="1775"/>
      <c r="B93" s="1797"/>
      <c r="C93" s="1833"/>
      <c r="D93" s="1794" t="s">
        <v>2367</v>
      </c>
      <c r="E93" s="1761">
        <v>5987074</v>
      </c>
      <c r="F93" s="1762">
        <v>4893830.28</v>
      </c>
      <c r="G93" s="1758">
        <f t="shared" si="1"/>
        <v>81.739933062460906</v>
      </c>
    </row>
    <row r="94" spans="1:7" ht="56.25" x14ac:dyDescent="0.25">
      <c r="A94" s="1775"/>
      <c r="B94" s="1797"/>
      <c r="C94" s="1833"/>
      <c r="D94" s="1794" t="s">
        <v>2447</v>
      </c>
      <c r="E94" s="1761">
        <v>1191988</v>
      </c>
      <c r="F94" s="1762">
        <v>1172326.1100000001</v>
      </c>
      <c r="G94" s="1758">
        <f t="shared" si="1"/>
        <v>98.350495978147435</v>
      </c>
    </row>
    <row r="95" spans="1:7" x14ac:dyDescent="0.25">
      <c r="A95" s="1775"/>
      <c r="B95" s="1797"/>
      <c r="C95" s="1833"/>
      <c r="E95" s="1734"/>
      <c r="F95" s="1734"/>
      <c r="G95" s="1734"/>
    </row>
    <row r="96" spans="1:7" ht="31.5" customHeight="1" x14ac:dyDescent="0.25">
      <c r="A96" s="1775"/>
      <c r="B96" s="2560" t="s">
        <v>2448</v>
      </c>
      <c r="C96" s="2561"/>
      <c r="D96" s="1834"/>
      <c r="E96" s="1825">
        <f>+E97+E99+E101+E103+E105+E107</f>
        <v>6884352</v>
      </c>
      <c r="F96" s="1742">
        <f>+F97+F99+F101+F103+F105+F107</f>
        <v>1164216.79</v>
      </c>
      <c r="G96" s="1778">
        <f t="shared" si="1"/>
        <v>16.911058440939687</v>
      </c>
    </row>
    <row r="97" spans="1:7" x14ac:dyDescent="0.25">
      <c r="A97" s="1775"/>
      <c r="B97" s="1835"/>
      <c r="C97" s="1784" t="s">
        <v>2404</v>
      </c>
      <c r="D97" s="1801"/>
      <c r="E97" s="1781">
        <f>SUM(E98)</f>
        <v>589395</v>
      </c>
      <c r="F97" s="1782">
        <f>SUM(F98)</f>
        <v>114922.87</v>
      </c>
      <c r="G97" s="1754">
        <f t="shared" si="1"/>
        <v>19.498446712306684</v>
      </c>
    </row>
    <row r="98" spans="1:7" ht="45" x14ac:dyDescent="0.25">
      <c r="A98" s="1775"/>
      <c r="B98" s="1835"/>
      <c r="C98" s="1786"/>
      <c r="D98" s="1755" t="s">
        <v>2401</v>
      </c>
      <c r="E98" s="1761">
        <v>589395</v>
      </c>
      <c r="F98" s="1762">
        <v>114922.87</v>
      </c>
      <c r="G98" s="1758">
        <f t="shared" si="1"/>
        <v>19.498446712306684</v>
      </c>
    </row>
    <row r="99" spans="1:7" x14ac:dyDescent="0.25">
      <c r="A99" s="1775"/>
      <c r="B99" s="1835"/>
      <c r="C99" s="1784" t="s">
        <v>2395</v>
      </c>
      <c r="D99" s="1801"/>
      <c r="E99" s="1781">
        <f>SUM(E100)</f>
        <v>38108</v>
      </c>
      <c r="F99" s="1782">
        <f>SUM(F100)</f>
        <v>10891.91</v>
      </c>
      <c r="G99" s="1754">
        <f t="shared" si="1"/>
        <v>28.581688884223784</v>
      </c>
    </row>
    <row r="100" spans="1:7" ht="22.5" x14ac:dyDescent="0.25">
      <c r="A100" s="1775"/>
      <c r="B100" s="1835"/>
      <c r="C100" s="1786"/>
      <c r="D100" s="1755" t="s">
        <v>2379</v>
      </c>
      <c r="E100" s="1761">
        <v>38108</v>
      </c>
      <c r="F100" s="1762">
        <v>10891.91</v>
      </c>
      <c r="G100" s="1758">
        <f t="shared" si="1"/>
        <v>28.581688884223784</v>
      </c>
    </row>
    <row r="101" spans="1:7" ht="22.5" x14ac:dyDescent="0.25">
      <c r="A101" s="1775"/>
      <c r="B101" s="1835"/>
      <c r="C101" s="1784" t="s">
        <v>2396</v>
      </c>
      <c r="D101" s="1801"/>
      <c r="E101" s="1781">
        <f>+E102</f>
        <v>561099</v>
      </c>
      <c r="F101" s="1782">
        <f>+F102</f>
        <v>257715.43</v>
      </c>
      <c r="G101" s="1754">
        <f t="shared" si="1"/>
        <v>45.930473944883168</v>
      </c>
    </row>
    <row r="102" spans="1:7" ht="22.5" x14ac:dyDescent="0.25">
      <c r="A102" s="1775"/>
      <c r="B102" s="1835"/>
      <c r="C102" s="1786"/>
      <c r="D102" s="1755" t="s">
        <v>2379</v>
      </c>
      <c r="E102" s="1761">
        <v>561099</v>
      </c>
      <c r="F102" s="1762">
        <v>257715.43</v>
      </c>
      <c r="G102" s="1758">
        <f t="shared" si="1"/>
        <v>45.930473944883168</v>
      </c>
    </row>
    <row r="103" spans="1:7" ht="22.5" x14ac:dyDescent="0.25">
      <c r="A103" s="1775"/>
      <c r="B103" s="1835"/>
      <c r="C103" s="1784" t="s">
        <v>2397</v>
      </c>
      <c r="D103" s="1801"/>
      <c r="E103" s="1781">
        <f>SUM(E104)</f>
        <v>4170407</v>
      </c>
      <c r="F103" s="1782">
        <f>SUM(F104)</f>
        <v>152712.17000000001</v>
      </c>
      <c r="G103" s="1754">
        <f t="shared" si="1"/>
        <v>3.6618049509316477</v>
      </c>
    </row>
    <row r="104" spans="1:7" ht="22.5" x14ac:dyDescent="0.25">
      <c r="A104" s="1775"/>
      <c r="B104" s="1835"/>
      <c r="C104" s="1786"/>
      <c r="D104" s="1755" t="s">
        <v>2379</v>
      </c>
      <c r="E104" s="1761">
        <v>4170407</v>
      </c>
      <c r="F104" s="1762">
        <v>152712.17000000001</v>
      </c>
      <c r="G104" s="1758">
        <f t="shared" si="1"/>
        <v>3.6618049509316477</v>
      </c>
    </row>
    <row r="105" spans="1:7" x14ac:dyDescent="0.25">
      <c r="A105" s="1775"/>
      <c r="B105" s="1835"/>
      <c r="C105" s="1784" t="s">
        <v>2405</v>
      </c>
      <c r="D105" s="1801"/>
      <c r="E105" s="1781">
        <f>SUM(E106)</f>
        <v>1137181</v>
      </c>
      <c r="F105" s="1782">
        <f>SUM(F106)</f>
        <v>436166.88000000006</v>
      </c>
      <c r="G105" s="1754">
        <f t="shared" si="1"/>
        <v>38.355097385552526</v>
      </c>
    </row>
    <row r="106" spans="1:7" ht="41.25" customHeight="1" x14ac:dyDescent="0.25">
      <c r="A106" s="1775"/>
      <c r="B106" s="1835"/>
      <c r="C106" s="1786"/>
      <c r="D106" s="1755" t="s">
        <v>2401</v>
      </c>
      <c r="E106" s="1761">
        <v>1137181</v>
      </c>
      <c r="F106" s="1762">
        <v>436166.88000000006</v>
      </c>
      <c r="G106" s="1758">
        <f t="shared" si="1"/>
        <v>38.355097385552526</v>
      </c>
    </row>
    <row r="107" spans="1:7" ht="22.5" x14ac:dyDescent="0.25">
      <c r="A107" s="1775"/>
      <c r="B107" s="1835"/>
      <c r="C107" s="1784" t="s">
        <v>2378</v>
      </c>
      <c r="D107" s="1801"/>
      <c r="E107" s="1781">
        <f>SUM(E108)</f>
        <v>388162</v>
      </c>
      <c r="F107" s="1782">
        <f>SUM(F108)</f>
        <v>191807.52999999997</v>
      </c>
      <c r="G107" s="1754">
        <f t="shared" si="1"/>
        <v>49.41429866911237</v>
      </c>
    </row>
    <row r="108" spans="1:7" ht="56.25" x14ac:dyDescent="0.25">
      <c r="A108" s="1775"/>
      <c r="B108" s="1835"/>
      <c r="C108" s="1836"/>
      <c r="D108" s="1755" t="s">
        <v>2377</v>
      </c>
      <c r="E108" s="1761">
        <v>388162</v>
      </c>
      <c r="F108" s="1762">
        <v>191807.52999999997</v>
      </c>
      <c r="G108" s="1758">
        <f t="shared" si="1"/>
        <v>49.41429866911237</v>
      </c>
    </row>
    <row r="109" spans="1:7" ht="24.75" customHeight="1" x14ac:dyDescent="0.25">
      <c r="A109" s="1775"/>
      <c r="B109" s="2558" t="s">
        <v>1960</v>
      </c>
      <c r="C109" s="2559"/>
      <c r="D109" s="1837"/>
      <c r="E109" s="1777">
        <f>SUM(E110:E110)</f>
        <v>4263754</v>
      </c>
      <c r="F109" s="1743">
        <f>SUM(F110:F110)</f>
        <v>1096521.5899999999</v>
      </c>
      <c r="G109" s="1778">
        <f t="shared" si="1"/>
        <v>25.717280828115314</v>
      </c>
    </row>
    <row r="110" spans="1:7" ht="26.25" customHeight="1" x14ac:dyDescent="0.25">
      <c r="A110" s="1838"/>
      <c r="B110" s="1797"/>
      <c r="C110" s="1810" t="s">
        <v>2449</v>
      </c>
      <c r="D110" s="1817"/>
      <c r="E110" s="1781">
        <f>SUM(E111:E111)</f>
        <v>4263754</v>
      </c>
      <c r="F110" s="1782">
        <f>SUM(F111:F111)</f>
        <v>1096521.5899999999</v>
      </c>
      <c r="G110" s="1754">
        <f t="shared" si="1"/>
        <v>25.717280828115314</v>
      </c>
    </row>
    <row r="111" spans="1:7" ht="33.75" x14ac:dyDescent="0.25">
      <c r="A111" s="1838"/>
      <c r="B111" s="1797"/>
      <c r="C111" s="1779"/>
      <c r="D111" s="1755" t="s">
        <v>2436</v>
      </c>
      <c r="E111" s="1761">
        <v>4263754</v>
      </c>
      <c r="F111" s="1762">
        <v>1096521.5899999999</v>
      </c>
      <c r="G111" s="1758">
        <f t="shared" si="1"/>
        <v>25.717280828115314</v>
      </c>
    </row>
    <row r="112" spans="1:7" ht="15" customHeight="1" x14ac:dyDescent="0.25">
      <c r="A112" s="1839" t="s">
        <v>2450</v>
      </c>
      <c r="B112" s="2553" t="s">
        <v>2451</v>
      </c>
      <c r="C112" s="2554"/>
      <c r="D112" s="1840"/>
      <c r="E112" s="1788">
        <f>+E113</f>
        <v>11104532</v>
      </c>
      <c r="F112" s="1789">
        <f>+F113</f>
        <v>2876135.1799999997</v>
      </c>
      <c r="G112" s="1778">
        <f t="shared" si="1"/>
        <v>25.900552855356711</v>
      </c>
    </row>
    <row r="113" spans="1:7" x14ac:dyDescent="0.25">
      <c r="A113" s="1841"/>
      <c r="B113" s="1842"/>
      <c r="C113" s="1765" t="s">
        <v>2318</v>
      </c>
      <c r="D113" s="1843"/>
      <c r="E113" s="1781">
        <f>SUM(E114:E119)</f>
        <v>11104532</v>
      </c>
      <c r="F113" s="1782">
        <f>SUM(F114:F119)</f>
        <v>2876135.1799999997</v>
      </c>
      <c r="G113" s="1754">
        <f t="shared" si="1"/>
        <v>25.900552855356711</v>
      </c>
    </row>
    <row r="114" spans="1:7" ht="56.25" x14ac:dyDescent="0.25">
      <c r="A114" s="1841"/>
      <c r="B114" s="1842"/>
      <c r="C114" s="1829"/>
      <c r="D114" s="1794" t="s">
        <v>2313</v>
      </c>
      <c r="E114" s="1761">
        <v>4020790</v>
      </c>
      <c r="F114" s="1762">
        <v>764649</v>
      </c>
      <c r="G114" s="1758">
        <f t="shared" si="1"/>
        <v>19.017382156242927</v>
      </c>
    </row>
    <row r="115" spans="1:7" ht="56.25" x14ac:dyDescent="0.25">
      <c r="A115" s="1841"/>
      <c r="B115" s="1842"/>
      <c r="C115" s="1829"/>
      <c r="D115" s="1794" t="s">
        <v>2364</v>
      </c>
      <c r="E115" s="1761">
        <v>36520</v>
      </c>
      <c r="F115" s="1762">
        <v>18259</v>
      </c>
      <c r="G115" s="1758">
        <f t="shared" si="1"/>
        <v>49.997261774370209</v>
      </c>
    </row>
    <row r="116" spans="1:7" ht="56.25" x14ac:dyDescent="0.25">
      <c r="A116" s="1841"/>
      <c r="B116" s="1842"/>
      <c r="C116" s="1829"/>
      <c r="D116" s="1794" t="s">
        <v>2367</v>
      </c>
      <c r="E116" s="1761">
        <v>14079</v>
      </c>
      <c r="F116" s="1762">
        <v>13710</v>
      </c>
      <c r="G116" s="1758">
        <f t="shared" si="1"/>
        <v>97.379075218410392</v>
      </c>
    </row>
    <row r="117" spans="1:7" ht="56.25" x14ac:dyDescent="0.25">
      <c r="A117" s="1841"/>
      <c r="B117" s="1842"/>
      <c r="C117" s="1829"/>
      <c r="D117" s="1794" t="s">
        <v>2369</v>
      </c>
      <c r="E117" s="1761">
        <v>280791</v>
      </c>
      <c r="F117" s="1762">
        <v>141532.51999999999</v>
      </c>
      <c r="G117" s="1758">
        <f t="shared" si="1"/>
        <v>50.40493463109572</v>
      </c>
    </row>
    <row r="118" spans="1:7" ht="22.5" x14ac:dyDescent="0.25">
      <c r="A118" s="1844"/>
      <c r="B118" s="1842"/>
      <c r="C118" s="1829"/>
      <c r="D118" s="1755" t="s">
        <v>2379</v>
      </c>
      <c r="E118" s="1761">
        <f>1858881+3335435</f>
        <v>5194316</v>
      </c>
      <c r="F118" s="1762">
        <f>24333+1553526.66</f>
        <v>1577859.66</v>
      </c>
      <c r="G118" s="1758">
        <f t="shared" si="1"/>
        <v>30.376659024980381</v>
      </c>
    </row>
    <row r="119" spans="1:7" ht="33.75" x14ac:dyDescent="0.25">
      <c r="A119" s="2043"/>
      <c r="B119" s="2044"/>
      <c r="C119" s="2045"/>
      <c r="D119" s="1755" t="s">
        <v>2408</v>
      </c>
      <c r="E119" s="1761">
        <v>1558036</v>
      </c>
      <c r="F119" s="1762">
        <v>360125</v>
      </c>
      <c r="G119" s="1758">
        <f t="shared" ref="G119" si="2">+F119/E119*100</f>
        <v>23.114035875936114</v>
      </c>
    </row>
    <row r="120" spans="1:7" ht="15" customHeight="1" x14ac:dyDescent="0.25">
      <c r="A120" s="1839" t="s">
        <v>2452</v>
      </c>
      <c r="B120" s="2562" t="s">
        <v>1786</v>
      </c>
      <c r="C120" s="2563"/>
      <c r="D120" s="1845"/>
      <c r="E120" s="1777">
        <f>+E121</f>
        <v>12369256</v>
      </c>
      <c r="F120" s="1743">
        <f>+F121</f>
        <v>4864875.040000001</v>
      </c>
      <c r="G120" s="1778">
        <f t="shared" si="1"/>
        <v>39.330377186792809</v>
      </c>
    </row>
    <row r="121" spans="1:7" x14ac:dyDescent="0.25">
      <c r="A121" s="1844"/>
      <c r="B121" s="1829"/>
      <c r="C121" s="1765" t="s">
        <v>2319</v>
      </c>
      <c r="D121" s="1846"/>
      <c r="E121" s="1781">
        <f>SUM(E122:E130)</f>
        <v>12369256</v>
      </c>
      <c r="F121" s="1782">
        <f>SUM(F122:F130)</f>
        <v>4864875.040000001</v>
      </c>
      <c r="G121" s="1754">
        <f t="shared" si="1"/>
        <v>39.330377186792809</v>
      </c>
    </row>
    <row r="122" spans="1:7" ht="56.25" x14ac:dyDescent="0.25">
      <c r="A122" s="1844"/>
      <c r="B122" s="1829"/>
      <c r="C122" s="1765"/>
      <c r="D122" s="1794" t="s">
        <v>2453</v>
      </c>
      <c r="E122" s="1761">
        <v>5490097</v>
      </c>
      <c r="F122" s="1762">
        <v>1744582.61</v>
      </c>
      <c r="G122" s="1758">
        <f t="shared" si="1"/>
        <v>31.7768995702626</v>
      </c>
    </row>
    <row r="123" spans="1:7" ht="56.25" x14ac:dyDescent="0.25">
      <c r="A123" s="1844"/>
      <c r="B123" s="1829"/>
      <c r="C123" s="1765"/>
      <c r="D123" s="1794" t="s">
        <v>2335</v>
      </c>
      <c r="E123" s="1761">
        <v>430000</v>
      </c>
      <c r="F123" s="1762">
        <v>3591.02</v>
      </c>
      <c r="G123" s="1758">
        <f t="shared" si="1"/>
        <v>0.83512093023255818</v>
      </c>
    </row>
    <row r="124" spans="1:7" ht="67.5" x14ac:dyDescent="0.25">
      <c r="A124" s="1844"/>
      <c r="B124" s="1829"/>
      <c r="C124" s="1829"/>
      <c r="D124" s="1785" t="s">
        <v>2433</v>
      </c>
      <c r="E124" s="1761">
        <f>372399+286416</f>
        <v>658815</v>
      </c>
      <c r="F124" s="1762">
        <f>198581.7+140084.79</f>
        <v>338666.49</v>
      </c>
      <c r="G124" s="1758">
        <f t="shared" si="1"/>
        <v>51.405400605632835</v>
      </c>
    </row>
    <row r="125" spans="1:7" ht="33.75" x14ac:dyDescent="0.25">
      <c r="A125" s="1844"/>
      <c r="B125" s="1829"/>
      <c r="C125" s="1829"/>
      <c r="D125" s="1802" t="s">
        <v>2361</v>
      </c>
      <c r="E125" s="1761">
        <v>514979</v>
      </c>
      <c r="F125" s="1762">
        <v>301218.93</v>
      </c>
      <c r="G125" s="1758">
        <f t="shared" si="1"/>
        <v>58.491497711557173</v>
      </c>
    </row>
    <row r="126" spans="1:7" ht="56.25" x14ac:dyDescent="0.25">
      <c r="A126" s="1844"/>
      <c r="B126" s="1829"/>
      <c r="C126" s="1829"/>
      <c r="D126" s="1794" t="s">
        <v>2364</v>
      </c>
      <c r="E126" s="1761">
        <v>2335209</v>
      </c>
      <c r="F126" s="1762">
        <v>795783.01</v>
      </c>
      <c r="G126" s="1758">
        <f t="shared" si="1"/>
        <v>34.077592626612862</v>
      </c>
    </row>
    <row r="127" spans="1:7" ht="56.25" x14ac:dyDescent="0.25">
      <c r="A127" s="1844"/>
      <c r="B127" s="1829"/>
      <c r="C127" s="1829"/>
      <c r="D127" s="1794" t="s">
        <v>2367</v>
      </c>
      <c r="E127" s="1761">
        <v>7525</v>
      </c>
      <c r="F127" s="1762">
        <v>7334.2</v>
      </c>
      <c r="G127" s="1758">
        <f t="shared" si="1"/>
        <v>97.464451827242527</v>
      </c>
    </row>
    <row r="128" spans="1:7" ht="22.5" x14ac:dyDescent="0.25">
      <c r="A128" s="1844"/>
      <c r="B128" s="1829"/>
      <c r="C128" s="1829"/>
      <c r="D128" s="1794" t="s">
        <v>2438</v>
      </c>
      <c r="E128" s="1761">
        <v>1740211</v>
      </c>
      <c r="F128" s="1762">
        <v>965778.76</v>
      </c>
      <c r="G128" s="1758">
        <f t="shared" si="1"/>
        <v>55.497796531570017</v>
      </c>
    </row>
    <row r="129" spans="1:7" ht="45" x14ac:dyDescent="0.25">
      <c r="A129" s="1844"/>
      <c r="B129" s="1829"/>
      <c r="C129" s="1829"/>
      <c r="D129" s="1755" t="s">
        <v>2454</v>
      </c>
      <c r="E129" s="1761">
        <v>352847</v>
      </c>
      <c r="F129" s="1762">
        <v>146008</v>
      </c>
      <c r="G129" s="1758">
        <f t="shared" si="1"/>
        <v>41.379974889966476</v>
      </c>
    </row>
    <row r="130" spans="1:7" ht="33.75" x14ac:dyDescent="0.25">
      <c r="A130" s="1844"/>
      <c r="B130" s="1829"/>
      <c r="C130" s="1829"/>
      <c r="D130" s="1755" t="s">
        <v>2408</v>
      </c>
      <c r="E130" s="1847">
        <f>678974+160599</f>
        <v>839573</v>
      </c>
      <c r="F130" s="1762">
        <f>453807.02+108105</f>
        <v>561912.02</v>
      </c>
      <c r="G130" s="1758">
        <f t="shared" si="1"/>
        <v>66.928309986147724</v>
      </c>
    </row>
    <row r="131" spans="1:7" ht="15" customHeight="1" x14ac:dyDescent="0.25">
      <c r="A131" s="1839" t="s">
        <v>2455</v>
      </c>
      <c r="B131" s="2562" t="s">
        <v>2456</v>
      </c>
      <c r="C131" s="2563"/>
      <c r="D131" s="1848"/>
      <c r="E131" s="1788">
        <f>+E132</f>
        <v>14762006</v>
      </c>
      <c r="F131" s="1789">
        <f>+F132</f>
        <v>3510346.07</v>
      </c>
      <c r="G131" s="1778">
        <f t="shared" si="1"/>
        <v>23.779600617964793</v>
      </c>
    </row>
    <row r="132" spans="1:7" x14ac:dyDescent="0.25">
      <c r="A132" s="1844"/>
      <c r="B132" s="1829"/>
      <c r="C132" s="1765" t="s">
        <v>2320</v>
      </c>
      <c r="D132" s="1846"/>
      <c r="E132" s="1781">
        <f>SUM(E133:E139)</f>
        <v>14762006</v>
      </c>
      <c r="F132" s="1782">
        <f>SUM(F133:F139)</f>
        <v>3510346.07</v>
      </c>
      <c r="G132" s="1754">
        <f t="shared" si="1"/>
        <v>23.779600617964793</v>
      </c>
    </row>
    <row r="133" spans="1:7" ht="56.25" x14ac:dyDescent="0.25">
      <c r="A133" s="1844"/>
      <c r="B133" s="1829"/>
      <c r="C133" s="1829"/>
      <c r="D133" s="1794" t="s">
        <v>2313</v>
      </c>
      <c r="E133" s="1761">
        <v>4914613</v>
      </c>
      <c r="F133" s="1762">
        <v>1154662.92</v>
      </c>
      <c r="G133" s="1758">
        <f t="shared" si="1"/>
        <v>23.494483085443349</v>
      </c>
    </row>
    <row r="134" spans="1:7" ht="56.25" x14ac:dyDescent="0.25">
      <c r="A134" s="1844"/>
      <c r="B134" s="1829"/>
      <c r="C134" s="1829"/>
      <c r="D134" s="1794" t="s">
        <v>2335</v>
      </c>
      <c r="E134" s="1761">
        <v>1177733</v>
      </c>
      <c r="F134" s="1762">
        <v>1400</v>
      </c>
      <c r="G134" s="1758">
        <f t="shared" si="1"/>
        <v>0.11887244392404729</v>
      </c>
    </row>
    <row r="135" spans="1:7" ht="67.5" x14ac:dyDescent="0.25">
      <c r="A135" s="1844"/>
      <c r="B135" s="1829"/>
      <c r="C135" s="1829"/>
      <c r="D135" s="1794" t="s">
        <v>2433</v>
      </c>
      <c r="E135" s="1761">
        <v>1588320</v>
      </c>
      <c r="F135" s="1762">
        <v>14505.26</v>
      </c>
      <c r="G135" s="1758">
        <f t="shared" si="1"/>
        <v>0.91324544172458955</v>
      </c>
    </row>
    <row r="136" spans="1:7" ht="56.25" x14ac:dyDescent="0.25">
      <c r="A136" s="1844"/>
      <c r="B136" s="1829"/>
      <c r="C136" s="1829"/>
      <c r="D136" s="1794" t="s">
        <v>2367</v>
      </c>
      <c r="E136" s="1761">
        <f>180427+14671</f>
        <v>195098</v>
      </c>
      <c r="F136" s="1762">
        <v>8476.07</v>
      </c>
      <c r="G136" s="1758">
        <f t="shared" si="1"/>
        <v>4.3445191647274699</v>
      </c>
    </row>
    <row r="137" spans="1:7" ht="22.5" x14ac:dyDescent="0.25">
      <c r="A137" s="1844"/>
      <c r="B137" s="1829"/>
      <c r="C137" s="1829"/>
      <c r="D137" s="1755" t="s">
        <v>2379</v>
      </c>
      <c r="E137" s="1761">
        <v>5373832</v>
      </c>
      <c r="F137" s="1762">
        <v>2284527.9300000002</v>
      </c>
      <c r="G137" s="1758">
        <f t="shared" si="1"/>
        <v>42.512083183843487</v>
      </c>
    </row>
    <row r="138" spans="1:7" ht="45" x14ac:dyDescent="0.25">
      <c r="A138" s="1844"/>
      <c r="B138" s="1829"/>
      <c r="C138" s="1829"/>
      <c r="D138" s="1755" t="s">
        <v>2454</v>
      </c>
      <c r="E138" s="1761">
        <v>300000</v>
      </c>
      <c r="F138" s="1762">
        <v>2347.7800000000002</v>
      </c>
      <c r="G138" s="1758">
        <f t="shared" si="1"/>
        <v>0.78259333333333336</v>
      </c>
    </row>
    <row r="139" spans="1:7" ht="33.75" x14ac:dyDescent="0.25">
      <c r="A139" s="1844"/>
      <c r="B139" s="1829"/>
      <c r="C139" s="1829"/>
      <c r="D139" s="1755" t="s">
        <v>2408</v>
      </c>
      <c r="E139" s="1761">
        <v>1212410</v>
      </c>
      <c r="F139" s="1762">
        <v>44426.11</v>
      </c>
      <c r="G139" s="1758">
        <f t="shared" si="1"/>
        <v>3.6642810600374465</v>
      </c>
    </row>
    <row r="140" spans="1:7" ht="15" customHeight="1" x14ac:dyDescent="0.25">
      <c r="A140" s="1839" t="s">
        <v>2457</v>
      </c>
      <c r="B140" s="2553" t="s">
        <v>2458</v>
      </c>
      <c r="C140" s="2554"/>
      <c r="D140" s="1849"/>
      <c r="E140" s="1788">
        <f>+E141</f>
        <v>92186617</v>
      </c>
      <c r="F140" s="1789">
        <f>+F141</f>
        <v>30475157.690000001</v>
      </c>
      <c r="G140" s="1778">
        <f t="shared" si="1"/>
        <v>33.058114812912599</v>
      </c>
    </row>
    <row r="141" spans="1:7" x14ac:dyDescent="0.25">
      <c r="A141" s="1850"/>
      <c r="B141" s="1851"/>
      <c r="C141" s="1820" t="s">
        <v>2459</v>
      </c>
      <c r="D141" s="1846"/>
      <c r="E141" s="1852">
        <f>SUM(E142:E146)</f>
        <v>92186617</v>
      </c>
      <c r="F141" s="1782">
        <f>SUM(F142:F146)</f>
        <v>30475157.690000001</v>
      </c>
      <c r="G141" s="1754">
        <f t="shared" si="1"/>
        <v>33.058114812912599</v>
      </c>
    </row>
    <row r="142" spans="1:7" ht="56.25" x14ac:dyDescent="0.25">
      <c r="A142" s="1850"/>
      <c r="B142" s="1851"/>
      <c r="C142" s="1851"/>
      <c r="D142" s="1794" t="s">
        <v>2335</v>
      </c>
      <c r="E142" s="1761">
        <v>34108819</v>
      </c>
      <c r="F142" s="1762">
        <v>7656490.7000000002</v>
      </c>
      <c r="G142" s="1758">
        <f t="shared" si="1"/>
        <v>22.447246561072667</v>
      </c>
    </row>
    <row r="143" spans="1:7" ht="56.25" x14ac:dyDescent="0.25">
      <c r="A143" s="1850"/>
      <c r="B143" s="1851"/>
      <c r="C143" s="1851"/>
      <c r="D143" s="1794" t="s">
        <v>2348</v>
      </c>
      <c r="E143" s="1761">
        <f>19348024+851300</f>
        <v>20199324</v>
      </c>
      <c r="F143" s="1762">
        <f>8745057.65+156749.84</f>
        <v>8901807.4900000002</v>
      </c>
      <c r="G143" s="1758">
        <f t="shared" si="1"/>
        <v>44.069828722981022</v>
      </c>
    </row>
    <row r="144" spans="1:7" ht="56.25" x14ac:dyDescent="0.25">
      <c r="A144" s="1850"/>
      <c r="B144" s="1851"/>
      <c r="C144" s="1851"/>
      <c r="D144" s="1794" t="s">
        <v>2367</v>
      </c>
      <c r="E144" s="1761">
        <v>9162971</v>
      </c>
      <c r="F144" s="1762">
        <v>1475608.28</v>
      </c>
      <c r="G144" s="1758">
        <f t="shared" si="1"/>
        <v>16.104037435019709</v>
      </c>
    </row>
    <row r="145" spans="1:7" ht="22.5" x14ac:dyDescent="0.25">
      <c r="A145" s="1850"/>
      <c r="B145" s="1851"/>
      <c r="C145" s="1851"/>
      <c r="D145" s="1755" t="s">
        <v>2379</v>
      </c>
      <c r="E145" s="1761">
        <v>27794496</v>
      </c>
      <c r="F145" s="1762">
        <v>12382996.92</v>
      </c>
      <c r="G145" s="1758">
        <f>+F145/E145*100</f>
        <v>44.551975038511223</v>
      </c>
    </row>
    <row r="146" spans="1:7" ht="36" customHeight="1" x14ac:dyDescent="0.25">
      <c r="A146" s="1850"/>
      <c r="B146" s="1851"/>
      <c r="C146" s="1851"/>
      <c r="D146" s="1755" t="s">
        <v>2408</v>
      </c>
      <c r="E146" s="844">
        <v>921007</v>
      </c>
      <c r="F146" s="847">
        <v>58254.3</v>
      </c>
      <c r="G146" s="848">
        <f>+F146/E146*100</f>
        <v>6.3250659332665231</v>
      </c>
    </row>
    <row r="147" spans="1:7" ht="15" customHeight="1" x14ac:dyDescent="0.25">
      <c r="A147" s="1853">
        <v>100</v>
      </c>
      <c r="B147" s="2564" t="s">
        <v>742</v>
      </c>
      <c r="C147" s="2565"/>
      <c r="D147" s="1854"/>
      <c r="E147" s="1777">
        <f>SUM(E148:E151)</f>
        <v>30611655</v>
      </c>
      <c r="F147" s="1743">
        <f>SUM(F148:F151)</f>
        <v>11312633.82</v>
      </c>
      <c r="G147" s="1778">
        <f t="shared" si="1"/>
        <v>36.955315940938185</v>
      </c>
    </row>
    <row r="148" spans="1:7" ht="67.5" x14ac:dyDescent="0.25">
      <c r="A148" s="1855"/>
      <c r="B148" s="1856"/>
      <c r="C148" s="1856"/>
      <c r="D148" s="1785" t="s">
        <v>2433</v>
      </c>
      <c r="E148" s="1761">
        <f>1974691+3377772+10715060+2519696</f>
        <v>18587219</v>
      </c>
      <c r="F148" s="1762">
        <f>787399.39+608431.25+5193317+804585</f>
        <v>7393732.6400000006</v>
      </c>
      <c r="G148" s="1758">
        <f t="shared" si="1"/>
        <v>39.778584628501982</v>
      </c>
    </row>
    <row r="149" spans="1:7" ht="56.25" x14ac:dyDescent="0.25">
      <c r="A149" s="1850"/>
      <c r="B149" s="1851"/>
      <c r="C149" s="1785"/>
      <c r="D149" s="1785" t="s">
        <v>2369</v>
      </c>
      <c r="E149" s="1761">
        <f>2357726+4239300+565223</f>
        <v>7162249</v>
      </c>
      <c r="F149" s="1762">
        <f>5671+1600508.69+264233</f>
        <v>1870412.69</v>
      </c>
      <c r="G149" s="1758">
        <f t="shared" ref="G149:G197" si="3">+F149/E149*100</f>
        <v>26.114879418461996</v>
      </c>
    </row>
    <row r="150" spans="1:7" ht="22.5" x14ac:dyDescent="0.25">
      <c r="A150" s="1850"/>
      <c r="B150" s="1851"/>
      <c r="C150" s="1785"/>
      <c r="D150" s="1755" t="s">
        <v>2379</v>
      </c>
      <c r="E150" s="1761">
        <v>4691580</v>
      </c>
      <c r="F150" s="1762">
        <v>1996478.25</v>
      </c>
      <c r="G150" s="1758">
        <f t="shared" si="3"/>
        <v>42.554496566188789</v>
      </c>
    </row>
    <row r="151" spans="1:7" ht="56.25" x14ac:dyDescent="0.25">
      <c r="A151" s="1850"/>
      <c r="B151" s="1851"/>
      <c r="C151" s="1785"/>
      <c r="D151" s="1755" t="s">
        <v>2460</v>
      </c>
      <c r="E151" s="1761">
        <v>170607</v>
      </c>
      <c r="F151" s="1762">
        <v>52010.239999999998</v>
      </c>
      <c r="G151" s="1758">
        <f t="shared" si="3"/>
        <v>30.485407984432054</v>
      </c>
    </row>
    <row r="152" spans="1:7" ht="15" customHeight="1" x14ac:dyDescent="0.25">
      <c r="A152" s="1839">
        <v>200</v>
      </c>
      <c r="B152" s="2553" t="s">
        <v>2461</v>
      </c>
      <c r="C152" s="2554"/>
      <c r="D152" s="1857"/>
      <c r="E152" s="1788">
        <f>+E153+E154</f>
        <v>27331621</v>
      </c>
      <c r="F152" s="1858">
        <f>+F153+F154</f>
        <v>5980631.8700000001</v>
      </c>
      <c r="G152" s="1778">
        <f t="shared" si="3"/>
        <v>21.881731310411485</v>
      </c>
    </row>
    <row r="153" spans="1:7" ht="56.25" x14ac:dyDescent="0.25">
      <c r="A153" s="1738"/>
      <c r="B153" s="1859"/>
      <c r="C153" s="1765" t="s">
        <v>2366</v>
      </c>
      <c r="D153" s="1794" t="s">
        <v>2364</v>
      </c>
      <c r="E153" s="1761">
        <v>26931016</v>
      </c>
      <c r="F153" s="1762">
        <v>5794426.1900000004</v>
      </c>
      <c r="G153" s="1758">
        <f t="shared" si="3"/>
        <v>21.515809837994972</v>
      </c>
    </row>
    <row r="154" spans="1:7" ht="56.25" x14ac:dyDescent="0.25">
      <c r="A154" s="1738"/>
      <c r="B154" s="1859"/>
      <c r="C154" s="1860" t="s">
        <v>2462</v>
      </c>
      <c r="D154" s="1794" t="s">
        <v>2463</v>
      </c>
      <c r="E154" s="1761">
        <v>400605</v>
      </c>
      <c r="F154" s="1762">
        <v>186205.68</v>
      </c>
      <c r="G154" s="1758">
        <f t="shared" si="3"/>
        <v>46.48111731006852</v>
      </c>
    </row>
    <row r="155" spans="1:7" ht="15" customHeight="1" x14ac:dyDescent="0.25">
      <c r="A155" s="1861">
        <v>300</v>
      </c>
      <c r="B155" s="2553" t="s">
        <v>2464</v>
      </c>
      <c r="C155" s="2554"/>
      <c r="D155" s="1840"/>
      <c r="E155" s="1788">
        <f>SUM(E156)</f>
        <v>30998829</v>
      </c>
      <c r="F155" s="1789">
        <f>SUM(F156)</f>
        <v>13381635.719999997</v>
      </c>
      <c r="G155" s="1778">
        <f t="shared" si="3"/>
        <v>43.168197482556508</v>
      </c>
    </row>
    <row r="156" spans="1:7" ht="56.25" x14ac:dyDescent="0.25">
      <c r="A156" s="1862"/>
      <c r="B156" s="1851"/>
      <c r="C156" s="1770" t="s">
        <v>2465</v>
      </c>
      <c r="D156" s="1794" t="s">
        <v>2313</v>
      </c>
      <c r="E156" s="1815">
        <v>30998829</v>
      </c>
      <c r="F156" s="1816">
        <v>13381635.719999997</v>
      </c>
      <c r="G156" s="1758">
        <f t="shared" si="3"/>
        <v>43.168197482556508</v>
      </c>
    </row>
    <row r="157" spans="1:7" ht="15" customHeight="1" x14ac:dyDescent="0.25">
      <c r="A157" s="1839">
        <v>301</v>
      </c>
      <c r="B157" s="2553" t="s">
        <v>2466</v>
      </c>
      <c r="C157" s="2554"/>
      <c r="D157" s="1840"/>
      <c r="E157" s="1788">
        <f>SUM(E158)</f>
        <v>83328257</v>
      </c>
      <c r="F157" s="1789">
        <f>+F158</f>
        <v>31289574.889999989</v>
      </c>
      <c r="G157" s="1778">
        <f t="shared" si="3"/>
        <v>37.549777250230967</v>
      </c>
    </row>
    <row r="158" spans="1:7" ht="99" customHeight="1" x14ac:dyDescent="0.25">
      <c r="A158" s="1738"/>
      <c r="B158" s="1859"/>
      <c r="C158" s="1765" t="s">
        <v>2322</v>
      </c>
      <c r="D158" s="1794" t="s">
        <v>2313</v>
      </c>
      <c r="E158" s="1761">
        <v>83328257</v>
      </c>
      <c r="F158" s="1762">
        <v>31289574.889999989</v>
      </c>
      <c r="G158" s="1758">
        <f t="shared" si="3"/>
        <v>37.549777250230967</v>
      </c>
    </row>
    <row r="159" spans="1:7" ht="15" customHeight="1" x14ac:dyDescent="0.25">
      <c r="A159" s="1839">
        <v>302</v>
      </c>
      <c r="B159" s="2553" t="s">
        <v>2467</v>
      </c>
      <c r="C159" s="2554"/>
      <c r="D159" s="1840"/>
      <c r="E159" s="1788">
        <f>SUM(E160)</f>
        <v>77104369</v>
      </c>
      <c r="F159" s="1789">
        <f>SUM(F160)</f>
        <v>36679956.099999994</v>
      </c>
      <c r="G159" s="1778">
        <f t="shared" si="3"/>
        <v>47.571825793684916</v>
      </c>
    </row>
    <row r="160" spans="1:7" ht="56.25" x14ac:dyDescent="0.25">
      <c r="A160" s="1862"/>
      <c r="B160" s="1851"/>
      <c r="C160" s="1765" t="s">
        <v>2323</v>
      </c>
      <c r="D160" s="1794" t="s">
        <v>2313</v>
      </c>
      <c r="E160" s="1761">
        <v>77104369</v>
      </c>
      <c r="F160" s="1762">
        <v>36679956.099999994</v>
      </c>
      <c r="G160" s="1758">
        <f t="shared" si="3"/>
        <v>47.571825793684916</v>
      </c>
    </row>
    <row r="161" spans="1:7" ht="15" customHeight="1" x14ac:dyDescent="0.25">
      <c r="A161" s="1861">
        <v>303</v>
      </c>
      <c r="B161" s="2553" t="s">
        <v>2468</v>
      </c>
      <c r="C161" s="2554"/>
      <c r="D161" s="1848"/>
      <c r="E161" s="1788">
        <f>SUM(E162)</f>
        <v>109784509</v>
      </c>
      <c r="F161" s="1789">
        <f>SUM(F162)</f>
        <v>50256045.469999984</v>
      </c>
      <c r="G161" s="1778">
        <f t="shared" si="3"/>
        <v>45.776991606347657</v>
      </c>
    </row>
    <row r="162" spans="1:7" ht="56.25" x14ac:dyDescent="0.25">
      <c r="A162" s="1738"/>
      <c r="B162" s="1859"/>
      <c r="C162" s="1765" t="s">
        <v>2324</v>
      </c>
      <c r="D162" s="1794" t="s">
        <v>2313</v>
      </c>
      <c r="E162" s="1761">
        <v>109784509</v>
      </c>
      <c r="F162" s="1762">
        <v>50256045.469999984</v>
      </c>
      <c r="G162" s="1758">
        <f t="shared" si="3"/>
        <v>45.776991606347657</v>
      </c>
    </row>
    <row r="163" spans="1:7" ht="15" customHeight="1" x14ac:dyDescent="0.25">
      <c r="A163" s="1839">
        <v>304</v>
      </c>
      <c r="B163" s="2553" t="s">
        <v>2469</v>
      </c>
      <c r="C163" s="2554"/>
      <c r="D163" s="1840"/>
      <c r="E163" s="1788">
        <f>SUM(E164)</f>
        <v>78494136</v>
      </c>
      <c r="F163" s="1789">
        <f>SUM(F164)</f>
        <v>35507924.850000001</v>
      </c>
      <c r="G163" s="1778">
        <f t="shared" si="3"/>
        <v>45.236404474851469</v>
      </c>
    </row>
    <row r="164" spans="1:7" ht="56.25" x14ac:dyDescent="0.25">
      <c r="A164" s="1738"/>
      <c r="B164" s="1737"/>
      <c r="C164" s="1863" t="s">
        <v>2325</v>
      </c>
      <c r="D164" s="1864" t="s">
        <v>2313</v>
      </c>
      <c r="E164" s="1761">
        <v>78494136</v>
      </c>
      <c r="F164" s="1762">
        <v>35507924.850000001</v>
      </c>
      <c r="G164" s="1758">
        <f t="shared" si="3"/>
        <v>45.236404474851469</v>
      </c>
    </row>
    <row r="165" spans="1:7" ht="15" customHeight="1" x14ac:dyDescent="0.25">
      <c r="A165" s="1839">
        <v>305</v>
      </c>
      <c r="B165" s="2553" t="s">
        <v>2470</v>
      </c>
      <c r="C165" s="2554"/>
      <c r="D165" s="1848"/>
      <c r="E165" s="1788">
        <f>SUM(E166)</f>
        <v>34799320</v>
      </c>
      <c r="F165" s="1789">
        <f>SUM(F166)</f>
        <v>16385705.980000004</v>
      </c>
      <c r="G165" s="1778">
        <f t="shared" si="3"/>
        <v>47.086282088270707</v>
      </c>
    </row>
    <row r="166" spans="1:7" ht="56.25" x14ac:dyDescent="0.25">
      <c r="A166" s="1738"/>
      <c r="B166" s="1737"/>
      <c r="C166" s="1863" t="s">
        <v>2326</v>
      </c>
      <c r="D166" s="1864" t="s">
        <v>2313</v>
      </c>
      <c r="E166" s="1761">
        <v>34799320</v>
      </c>
      <c r="F166" s="1762">
        <v>16385705.980000004</v>
      </c>
      <c r="G166" s="1758">
        <f t="shared" si="3"/>
        <v>47.086282088270707</v>
      </c>
    </row>
    <row r="167" spans="1:7" ht="15" customHeight="1" x14ac:dyDescent="0.25">
      <c r="A167" s="1839">
        <v>306</v>
      </c>
      <c r="B167" s="2553" t="s">
        <v>2471</v>
      </c>
      <c r="C167" s="2554"/>
      <c r="D167" s="1848"/>
      <c r="E167" s="1788">
        <f>SUM(E168)</f>
        <v>35411901</v>
      </c>
      <c r="F167" s="1789">
        <f>SUM(F168)</f>
        <v>16909312.469999995</v>
      </c>
      <c r="G167" s="1778">
        <f t="shared" si="3"/>
        <v>47.750366381064929</v>
      </c>
    </row>
    <row r="168" spans="1:7" ht="56.25" x14ac:dyDescent="0.25">
      <c r="A168" s="1738"/>
      <c r="B168" s="1737"/>
      <c r="C168" s="1863" t="s">
        <v>2327</v>
      </c>
      <c r="D168" s="1864" t="s">
        <v>2313</v>
      </c>
      <c r="E168" s="1761">
        <v>35411901</v>
      </c>
      <c r="F168" s="1762">
        <v>16909312.469999995</v>
      </c>
      <c r="G168" s="1758">
        <f t="shared" si="3"/>
        <v>47.750366381064929</v>
      </c>
    </row>
    <row r="169" spans="1:7" ht="15" customHeight="1" x14ac:dyDescent="0.25">
      <c r="A169" s="1839">
        <v>307</v>
      </c>
      <c r="B169" s="2553" t="s">
        <v>2472</v>
      </c>
      <c r="C169" s="2554"/>
      <c r="D169" s="1848"/>
      <c r="E169" s="1788">
        <f>SUM(E170)</f>
        <v>40958620</v>
      </c>
      <c r="F169" s="1789">
        <f>SUM(F170)</f>
        <v>19353729.900000013</v>
      </c>
      <c r="G169" s="1778">
        <f t="shared" si="3"/>
        <v>47.251909121938226</v>
      </c>
    </row>
    <row r="170" spans="1:7" ht="75" customHeight="1" x14ac:dyDescent="0.25">
      <c r="A170" s="1738"/>
      <c r="B170" s="1737"/>
      <c r="C170" s="1863" t="s">
        <v>2328</v>
      </c>
      <c r="D170" s="1864" t="s">
        <v>2313</v>
      </c>
      <c r="E170" s="1761">
        <v>40958620</v>
      </c>
      <c r="F170" s="1762">
        <v>19353729.900000013</v>
      </c>
      <c r="G170" s="1758">
        <f t="shared" si="3"/>
        <v>47.251909121938226</v>
      </c>
    </row>
    <row r="171" spans="1:7" ht="15" customHeight="1" x14ac:dyDescent="0.25">
      <c r="A171" s="1839">
        <v>308</v>
      </c>
      <c r="B171" s="2553" t="s">
        <v>2473</v>
      </c>
      <c r="C171" s="2554"/>
      <c r="D171" s="1848"/>
      <c r="E171" s="1788">
        <f>SUM(E172)</f>
        <v>45299674</v>
      </c>
      <c r="F171" s="1789">
        <f>SUM(F172)</f>
        <v>22658358.099999998</v>
      </c>
      <c r="G171" s="1778">
        <f t="shared" si="3"/>
        <v>50.018810510645174</v>
      </c>
    </row>
    <row r="172" spans="1:7" ht="56.25" x14ac:dyDescent="0.25">
      <c r="A172" s="1862"/>
      <c r="B172" s="1865"/>
      <c r="C172" s="1863" t="s">
        <v>2329</v>
      </c>
      <c r="D172" s="1864" t="s">
        <v>2313</v>
      </c>
      <c r="E172" s="1815">
        <v>45299674</v>
      </c>
      <c r="F172" s="1816">
        <v>22658358.099999998</v>
      </c>
      <c r="G172" s="1758">
        <f t="shared" si="3"/>
        <v>50.018810510645174</v>
      </c>
    </row>
    <row r="173" spans="1:7" ht="15" customHeight="1" x14ac:dyDescent="0.25">
      <c r="A173" s="1839">
        <v>309</v>
      </c>
      <c r="B173" s="2553" t="s">
        <v>2474</v>
      </c>
      <c r="C173" s="2554"/>
      <c r="D173" s="1848"/>
      <c r="E173" s="1788">
        <f>SUM(E174)</f>
        <v>160622147</v>
      </c>
      <c r="F173" s="1789">
        <f>SUM(F174)</f>
        <v>71546890.190000013</v>
      </c>
      <c r="G173" s="1778">
        <f t="shared" si="3"/>
        <v>44.543602190798765</v>
      </c>
    </row>
    <row r="174" spans="1:7" ht="55.5" customHeight="1" x14ac:dyDescent="0.25">
      <c r="A174" s="1862"/>
      <c r="B174" s="1865"/>
      <c r="C174" s="1863" t="s">
        <v>2330</v>
      </c>
      <c r="D174" s="1864" t="s">
        <v>2313</v>
      </c>
      <c r="E174" s="1815">
        <v>160622147</v>
      </c>
      <c r="F174" s="1816">
        <v>71546890.190000013</v>
      </c>
      <c r="G174" s="1758">
        <f t="shared" si="3"/>
        <v>44.543602190798765</v>
      </c>
    </row>
    <row r="175" spans="1:7" ht="15" customHeight="1" x14ac:dyDescent="0.25">
      <c r="A175" s="1839">
        <v>310</v>
      </c>
      <c r="B175" s="2553" t="s">
        <v>2475</v>
      </c>
      <c r="C175" s="2554"/>
      <c r="D175" s="1849"/>
      <c r="E175" s="1788">
        <f>SUM(E176)</f>
        <v>27703250</v>
      </c>
      <c r="F175" s="1789">
        <f>SUM(F176)</f>
        <v>12676047.380000005</v>
      </c>
      <c r="G175" s="1778">
        <f t="shared" si="3"/>
        <v>45.756535352350376</v>
      </c>
    </row>
    <row r="176" spans="1:7" ht="56.25" x14ac:dyDescent="0.25">
      <c r="A176" s="1862"/>
      <c r="B176" s="1851"/>
      <c r="C176" s="1863" t="s">
        <v>2331</v>
      </c>
      <c r="D176" s="1864" t="s">
        <v>2313</v>
      </c>
      <c r="E176" s="1761">
        <v>27703250</v>
      </c>
      <c r="F176" s="1762">
        <v>12676047.380000005</v>
      </c>
      <c r="G176" s="1758">
        <f t="shared" si="3"/>
        <v>45.756535352350376</v>
      </c>
    </row>
    <row r="177" spans="1:7" ht="15" customHeight="1" x14ac:dyDescent="0.25">
      <c r="A177" s="1839">
        <v>311</v>
      </c>
      <c r="B177" s="2553" t="s">
        <v>2476</v>
      </c>
      <c r="C177" s="2554"/>
      <c r="D177" s="1848"/>
      <c r="E177" s="1788">
        <f>SUM(E178)</f>
        <v>25030698</v>
      </c>
      <c r="F177" s="1789">
        <f>SUM(F178)</f>
        <v>11548107.6</v>
      </c>
      <c r="G177" s="1778">
        <f t="shared" si="3"/>
        <v>46.135779353815856</v>
      </c>
    </row>
    <row r="178" spans="1:7" ht="56.25" x14ac:dyDescent="0.25">
      <c r="A178" s="1862"/>
      <c r="B178" s="1865"/>
      <c r="C178" s="1863" t="s">
        <v>2332</v>
      </c>
      <c r="D178" s="1864" t="s">
        <v>2313</v>
      </c>
      <c r="E178" s="1815">
        <v>25030698</v>
      </c>
      <c r="F178" s="1816">
        <v>11548107.6</v>
      </c>
      <c r="G178" s="1758">
        <f t="shared" si="3"/>
        <v>46.135779353815856</v>
      </c>
    </row>
    <row r="179" spans="1:7" ht="15" customHeight="1" x14ac:dyDescent="0.25">
      <c r="A179" s="1839">
        <v>312</v>
      </c>
      <c r="B179" s="2553" t="s">
        <v>2477</v>
      </c>
      <c r="C179" s="2554"/>
      <c r="D179" s="1848"/>
      <c r="E179" s="1788">
        <f>SUM(E180)</f>
        <v>33694782</v>
      </c>
      <c r="F179" s="1789">
        <f>+F180</f>
        <v>15960305.250000004</v>
      </c>
      <c r="G179" s="1778">
        <f t="shared" si="3"/>
        <v>47.36729043090412</v>
      </c>
    </row>
    <row r="180" spans="1:7" ht="114.75" customHeight="1" x14ac:dyDescent="0.25">
      <c r="A180" s="1862"/>
      <c r="B180" s="1851"/>
      <c r="C180" s="1863" t="s">
        <v>2333</v>
      </c>
      <c r="D180" s="1864" t="s">
        <v>2313</v>
      </c>
      <c r="E180" s="1815">
        <v>33694782</v>
      </c>
      <c r="F180" s="1816">
        <v>15960305.250000004</v>
      </c>
      <c r="G180" s="1758">
        <f t="shared" si="3"/>
        <v>47.36729043090412</v>
      </c>
    </row>
    <row r="181" spans="1:7" ht="15" customHeight="1" x14ac:dyDescent="0.25">
      <c r="A181" s="1839">
        <v>313</v>
      </c>
      <c r="B181" s="2553" t="s">
        <v>2478</v>
      </c>
      <c r="C181" s="2554"/>
      <c r="D181" s="1848"/>
      <c r="E181" s="1788">
        <f>SUM(E182)</f>
        <v>15501958</v>
      </c>
      <c r="F181" s="1789">
        <f>+F182</f>
        <v>7030892.0499999998</v>
      </c>
      <c r="G181" s="1778">
        <f t="shared" si="3"/>
        <v>45.354864527435822</v>
      </c>
    </row>
    <row r="182" spans="1:7" ht="61.5" customHeight="1" x14ac:dyDescent="0.25">
      <c r="A182" s="1862"/>
      <c r="B182" s="1865"/>
      <c r="C182" s="1863" t="s">
        <v>2334</v>
      </c>
      <c r="D182" s="1864" t="s">
        <v>2313</v>
      </c>
      <c r="E182" s="1815">
        <v>15501958</v>
      </c>
      <c r="F182" s="1816">
        <v>7030892.0499999998</v>
      </c>
      <c r="G182" s="1758">
        <f t="shared" si="3"/>
        <v>45.354864527435822</v>
      </c>
    </row>
    <row r="183" spans="1:7" ht="15" customHeight="1" x14ac:dyDescent="0.25">
      <c r="A183" s="1839">
        <v>400</v>
      </c>
      <c r="B183" s="2553" t="s">
        <v>2479</v>
      </c>
      <c r="C183" s="2554"/>
      <c r="D183" s="1848"/>
      <c r="E183" s="1788">
        <f>SUM(E184)</f>
        <v>90887190</v>
      </c>
      <c r="F183" s="1789">
        <f>SUM(F184)</f>
        <v>34408692.48999998</v>
      </c>
      <c r="G183" s="1778">
        <f t="shared" si="3"/>
        <v>37.858682274146645</v>
      </c>
    </row>
    <row r="184" spans="1:7" ht="56.25" x14ac:dyDescent="0.25">
      <c r="A184" s="1738"/>
      <c r="B184" s="1737"/>
      <c r="C184" s="1863" t="s">
        <v>2341</v>
      </c>
      <c r="D184" s="1864" t="s">
        <v>2335</v>
      </c>
      <c r="E184" s="1761">
        <v>90887190</v>
      </c>
      <c r="F184" s="1762">
        <v>34408692.48999998</v>
      </c>
      <c r="G184" s="1758">
        <f t="shared" si="3"/>
        <v>37.858682274146645</v>
      </c>
    </row>
    <row r="185" spans="1:7" ht="15" customHeight="1" x14ac:dyDescent="0.25">
      <c r="A185" s="1839">
        <v>401</v>
      </c>
      <c r="B185" s="2553" t="s">
        <v>2480</v>
      </c>
      <c r="C185" s="2554"/>
      <c r="D185" s="1848"/>
      <c r="E185" s="1788">
        <f>SUM(E186)</f>
        <v>46341983</v>
      </c>
      <c r="F185" s="1789">
        <f>SUM(F186)</f>
        <v>19444689.120000012</v>
      </c>
      <c r="G185" s="1778">
        <f t="shared" si="3"/>
        <v>41.959121861487915</v>
      </c>
    </row>
    <row r="186" spans="1:7" ht="56.25" x14ac:dyDescent="0.25">
      <c r="A186" s="1738"/>
      <c r="B186" s="1866"/>
      <c r="C186" s="1863" t="s">
        <v>2481</v>
      </c>
      <c r="D186" s="1864" t="s">
        <v>2335</v>
      </c>
      <c r="E186" s="1761">
        <v>46341983</v>
      </c>
      <c r="F186" s="1762">
        <v>19444689.120000012</v>
      </c>
      <c r="G186" s="1758">
        <f t="shared" si="3"/>
        <v>41.959121861487915</v>
      </c>
    </row>
    <row r="187" spans="1:7" ht="15" customHeight="1" x14ac:dyDescent="0.25">
      <c r="A187" s="1839">
        <v>402</v>
      </c>
      <c r="B187" s="2553" t="s">
        <v>2482</v>
      </c>
      <c r="C187" s="2554"/>
      <c r="D187" s="1840"/>
      <c r="E187" s="1788">
        <f>SUM(E188)</f>
        <v>34230626</v>
      </c>
      <c r="F187" s="1789">
        <f>SUM(F188)</f>
        <v>14070371.119999984</v>
      </c>
      <c r="G187" s="1778">
        <f t="shared" si="3"/>
        <v>41.10462695014688</v>
      </c>
    </row>
    <row r="188" spans="1:7" ht="56.25" x14ac:dyDescent="0.25">
      <c r="A188" s="1862"/>
      <c r="B188" s="1851"/>
      <c r="C188" s="1863" t="s">
        <v>2483</v>
      </c>
      <c r="D188" s="1864" t="s">
        <v>2335</v>
      </c>
      <c r="E188" s="1761">
        <v>34230626</v>
      </c>
      <c r="F188" s="1762">
        <v>14070371.119999984</v>
      </c>
      <c r="G188" s="1758">
        <f t="shared" si="3"/>
        <v>41.10462695014688</v>
      </c>
    </row>
    <row r="189" spans="1:7" ht="15" customHeight="1" x14ac:dyDescent="0.25">
      <c r="A189" s="1839">
        <v>403</v>
      </c>
      <c r="B189" s="2553" t="s">
        <v>2484</v>
      </c>
      <c r="C189" s="2554"/>
      <c r="D189" s="1840"/>
      <c r="E189" s="1788">
        <f>SUM(E190)</f>
        <v>48769974</v>
      </c>
      <c r="F189" s="1789">
        <f>SUM(F190)</f>
        <v>21671812.859999985</v>
      </c>
      <c r="G189" s="1778">
        <f t="shared" si="3"/>
        <v>44.436793958512226</v>
      </c>
    </row>
    <row r="190" spans="1:7" ht="56.25" x14ac:dyDescent="0.25">
      <c r="A190" s="1738"/>
      <c r="B190" s="1737"/>
      <c r="C190" s="1863" t="s">
        <v>2485</v>
      </c>
      <c r="D190" s="1864" t="s">
        <v>2335</v>
      </c>
      <c r="E190" s="1761">
        <v>48769974</v>
      </c>
      <c r="F190" s="1762">
        <v>21671812.859999985</v>
      </c>
      <c r="G190" s="1758">
        <f t="shared" si="3"/>
        <v>44.436793958512226</v>
      </c>
    </row>
    <row r="191" spans="1:7" ht="15" customHeight="1" x14ac:dyDescent="0.25">
      <c r="A191" s="1839">
        <v>404</v>
      </c>
      <c r="B191" s="2553" t="s">
        <v>2486</v>
      </c>
      <c r="C191" s="2554"/>
      <c r="D191" s="1840"/>
      <c r="E191" s="1788">
        <f>SUM(E192)</f>
        <v>49973898</v>
      </c>
      <c r="F191" s="1789">
        <f>SUM(F192)</f>
        <v>21737835.280000009</v>
      </c>
      <c r="G191" s="1778">
        <f t="shared" si="3"/>
        <v>43.498378453487874</v>
      </c>
    </row>
    <row r="192" spans="1:7" ht="56.25" x14ac:dyDescent="0.25">
      <c r="A192" s="1738"/>
      <c r="B192" s="1737"/>
      <c r="C192" s="1863" t="s">
        <v>2345</v>
      </c>
      <c r="D192" s="1864" t="s">
        <v>2335</v>
      </c>
      <c r="E192" s="1761">
        <v>49973898</v>
      </c>
      <c r="F192" s="1762">
        <v>21737835.280000009</v>
      </c>
      <c r="G192" s="1758">
        <f t="shared" si="3"/>
        <v>43.498378453487874</v>
      </c>
    </row>
    <row r="193" spans="1:7" ht="15" customHeight="1" x14ac:dyDescent="0.25">
      <c r="A193" s="1839">
        <v>405</v>
      </c>
      <c r="B193" s="2553" t="s">
        <v>2487</v>
      </c>
      <c r="C193" s="2554"/>
      <c r="D193" s="1840"/>
      <c r="E193" s="1788">
        <f>SUM(E194)</f>
        <v>14695454</v>
      </c>
      <c r="F193" s="1789">
        <f>SUM(F194)</f>
        <v>6865654.2700000005</v>
      </c>
      <c r="G193" s="1778">
        <f t="shared" si="3"/>
        <v>46.719579197757348</v>
      </c>
    </row>
    <row r="194" spans="1:7" ht="56.25" x14ac:dyDescent="0.25">
      <c r="A194" s="1851"/>
      <c r="B194" s="1851"/>
      <c r="C194" s="1770" t="s">
        <v>2346</v>
      </c>
      <c r="D194" s="1864" t="s">
        <v>2335</v>
      </c>
      <c r="E194" s="1761">
        <v>14695454</v>
      </c>
      <c r="F194" s="1762">
        <v>6865654.2700000005</v>
      </c>
      <c r="G194" s="1758">
        <f t="shared" si="3"/>
        <v>46.719579197757348</v>
      </c>
    </row>
    <row r="195" spans="1:7" ht="15" customHeight="1" x14ac:dyDescent="0.25">
      <c r="A195" s="1839">
        <v>406</v>
      </c>
      <c r="B195" s="2553" t="s">
        <v>2488</v>
      </c>
      <c r="C195" s="2554"/>
      <c r="D195" s="1840"/>
      <c r="E195" s="1788">
        <f>SUM(E196)</f>
        <v>10156695</v>
      </c>
      <c r="F195" s="1789">
        <f>SUM(F196)</f>
        <v>4171330.2600000002</v>
      </c>
      <c r="G195" s="1778">
        <f t="shared" si="3"/>
        <v>41.069759995746651</v>
      </c>
    </row>
    <row r="196" spans="1:7" ht="56.25" x14ac:dyDescent="0.25">
      <c r="A196" s="1851"/>
      <c r="B196" s="1851"/>
      <c r="C196" s="1770" t="s">
        <v>2347</v>
      </c>
      <c r="D196" s="1864" t="s">
        <v>2335</v>
      </c>
      <c r="E196" s="1761">
        <v>10156695</v>
      </c>
      <c r="F196" s="1762">
        <v>4171330.2600000002</v>
      </c>
      <c r="G196" s="1758">
        <f t="shared" si="3"/>
        <v>41.069759995746651</v>
      </c>
    </row>
    <row r="197" spans="1:7" ht="19.5" customHeight="1" thickBot="1" x14ac:dyDescent="0.3">
      <c r="A197" s="849"/>
      <c r="B197" s="2555" t="s">
        <v>2489</v>
      </c>
      <c r="C197" s="2556"/>
      <c r="D197" s="2557"/>
      <c r="E197" s="1732">
        <f>+E193+E191+E189+E187+E185+E183+E181+E177+E171+E173+E179+E175+E169+E167+E165+E163+E161+E159+E157+E155+E152+E140+E131+E120+E112+E5+E147+E195</f>
        <v>1384172135</v>
      </c>
      <c r="F197" s="1735">
        <f>+F193+F191+F189+F187+F185+F183+F181+F177+F171+F173+F179+F175+F169+F167+F165+F163+F161+F159+F157+F155+F152+F140+F131+F120+F112+F5+F147+F195</f>
        <v>569583660.94000006</v>
      </c>
      <c r="G197" s="850">
        <f t="shared" si="3"/>
        <v>41.149770793500338</v>
      </c>
    </row>
    <row r="198" spans="1:7" ht="16.5" customHeight="1" thickTop="1" x14ac:dyDescent="0.25">
      <c r="A198" s="1566" t="s">
        <v>2798</v>
      </c>
      <c r="E198" s="852"/>
      <c r="F198" s="852"/>
      <c r="G198" s="853"/>
    </row>
    <row r="199" spans="1:7" x14ac:dyDescent="0.25">
      <c r="E199" s="2240"/>
      <c r="F199" s="2240"/>
    </row>
    <row r="201" spans="1:7" x14ac:dyDescent="0.25">
      <c r="E201" s="2046"/>
    </row>
  </sheetData>
  <mergeCells count="44">
    <mergeCell ref="A1:G1"/>
    <mergeCell ref="B62:C62"/>
    <mergeCell ref="A2:G3"/>
    <mergeCell ref="B5:C5"/>
    <mergeCell ref="B6:C6"/>
    <mergeCell ref="B19:C19"/>
    <mergeCell ref="B21:C21"/>
    <mergeCell ref="B23:C23"/>
    <mergeCell ref="B25:C25"/>
    <mergeCell ref="B27:C27"/>
    <mergeCell ref="B29:C29"/>
    <mergeCell ref="B31:C31"/>
    <mergeCell ref="B46:C46"/>
    <mergeCell ref="B159:C159"/>
    <mergeCell ref="B81:C81"/>
    <mergeCell ref="B96:C96"/>
    <mergeCell ref="B109:C109"/>
    <mergeCell ref="B112:C112"/>
    <mergeCell ref="B120:C120"/>
    <mergeCell ref="B131:C131"/>
    <mergeCell ref="B140:C140"/>
    <mergeCell ref="B147:C147"/>
    <mergeCell ref="B152:C152"/>
    <mergeCell ref="B155:C155"/>
    <mergeCell ref="B157:C157"/>
    <mergeCell ref="B183:C183"/>
    <mergeCell ref="B161:C161"/>
    <mergeCell ref="B163:C163"/>
    <mergeCell ref="B165:C165"/>
    <mergeCell ref="B167:C167"/>
    <mergeCell ref="B169:C169"/>
    <mergeCell ref="B171:C171"/>
    <mergeCell ref="B173:C173"/>
    <mergeCell ref="B175:C175"/>
    <mergeCell ref="B177:C177"/>
    <mergeCell ref="B179:C179"/>
    <mergeCell ref="B181:C181"/>
    <mergeCell ref="B195:C195"/>
    <mergeCell ref="B197:D197"/>
    <mergeCell ref="B185:C185"/>
    <mergeCell ref="B187:C187"/>
    <mergeCell ref="B189:C189"/>
    <mergeCell ref="B191:C191"/>
    <mergeCell ref="B193:C19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&amp;L&amp;G</oddHeader>
    <oddFooter>&amp;L&amp;G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G29"/>
  <sheetViews>
    <sheetView workbookViewId="0">
      <selection activeCell="G26" sqref="G26"/>
    </sheetView>
  </sheetViews>
  <sheetFormatPr baseColWidth="10" defaultRowHeight="15" x14ac:dyDescent="0.25"/>
  <cols>
    <col min="5" max="6" width="13.7109375" bestFit="1" customWidth="1"/>
    <col min="7" max="7" width="11.7109375" bestFit="1" customWidth="1"/>
  </cols>
  <sheetData>
    <row r="11" spans="5:6" x14ac:dyDescent="0.25">
      <c r="E11" s="2282">
        <v>825087863</v>
      </c>
      <c r="F11" s="853">
        <v>368837004.41000003</v>
      </c>
    </row>
    <row r="12" spans="5:6" x14ac:dyDescent="0.25">
      <c r="E12" s="2282">
        <v>331044335</v>
      </c>
      <c r="F12" s="853">
        <v>130105799.12</v>
      </c>
    </row>
    <row r="13" spans="5:6" x14ac:dyDescent="0.25">
      <c r="E13" s="2282">
        <v>20607929</v>
      </c>
      <c r="F13" s="853">
        <v>9088013.1699999999</v>
      </c>
    </row>
    <row r="14" spans="5:6" x14ac:dyDescent="0.25">
      <c r="E14" s="2282">
        <v>813411</v>
      </c>
      <c r="F14" s="853">
        <v>361776.64000000001</v>
      </c>
    </row>
    <row r="15" spans="5:6" x14ac:dyDescent="0.25">
      <c r="E15" s="2282">
        <v>2204440</v>
      </c>
      <c r="F15" s="853">
        <v>492407.76</v>
      </c>
    </row>
    <row r="16" spans="5:6" x14ac:dyDescent="0.25">
      <c r="E16" s="2282">
        <v>24809989</v>
      </c>
      <c r="F16" s="853">
        <v>8662781.9000000004</v>
      </c>
    </row>
    <row r="17" spans="5:7" x14ac:dyDescent="0.25">
      <c r="E17" s="2282">
        <v>1556883</v>
      </c>
      <c r="F17" s="853">
        <v>710457.56</v>
      </c>
    </row>
    <row r="18" spans="5:7" x14ac:dyDescent="0.25">
      <c r="E18" s="2282">
        <v>32272609</v>
      </c>
      <c r="F18" s="853">
        <v>7951277.9400000004</v>
      </c>
    </row>
    <row r="19" spans="5:7" x14ac:dyDescent="0.25">
      <c r="E19" s="2282">
        <v>15795402</v>
      </c>
      <c r="F19" s="853">
        <v>6462701.7199999997</v>
      </c>
    </row>
    <row r="20" spans="5:7" x14ac:dyDescent="0.25">
      <c r="E20" s="2282">
        <v>10508528</v>
      </c>
      <c r="F20" s="853">
        <v>3378763.5</v>
      </c>
    </row>
    <row r="21" spans="5:7" x14ac:dyDescent="0.25">
      <c r="E21" s="2282">
        <v>5376713</v>
      </c>
      <c r="F21" s="853">
        <v>1285945.4099999999</v>
      </c>
    </row>
    <row r="22" spans="5:7" x14ac:dyDescent="0.25">
      <c r="E22" s="2282">
        <v>388162</v>
      </c>
      <c r="F22" s="853">
        <v>191807.53</v>
      </c>
    </row>
    <row r="23" spans="5:7" x14ac:dyDescent="0.25">
      <c r="E23" s="2282">
        <v>65794631</v>
      </c>
      <c r="F23" s="853">
        <v>26850975.640000001</v>
      </c>
    </row>
    <row r="24" spans="5:7" x14ac:dyDescent="0.25">
      <c r="E24" s="2282">
        <v>3568400</v>
      </c>
      <c r="F24" s="853">
        <v>1181107.3400000001</v>
      </c>
    </row>
    <row r="25" spans="5:7" x14ac:dyDescent="0.25">
      <c r="E25" s="2282">
        <v>2160320</v>
      </c>
      <c r="F25" s="853">
        <v>756610.13</v>
      </c>
    </row>
    <row r="26" spans="5:7" x14ac:dyDescent="0.25">
      <c r="E26" s="2282">
        <v>42182520</v>
      </c>
      <c r="F26" s="853">
        <v>3266231.17</v>
      </c>
      <c r="G26" s="853"/>
    </row>
    <row r="27" spans="5:7" x14ac:dyDescent="0.25">
      <c r="E27" s="2283">
        <f>SUM(E11:E26)</f>
        <v>1384172135</v>
      </c>
      <c r="F27" s="2284">
        <f>SUM(F11:F26)</f>
        <v>569583660.93999994</v>
      </c>
    </row>
    <row r="28" spans="5:7" x14ac:dyDescent="0.25">
      <c r="E28" s="2283">
        <v>1384172135</v>
      </c>
      <c r="F28" s="2284">
        <v>569583660.94000006</v>
      </c>
    </row>
    <row r="29" spans="5:7" x14ac:dyDescent="0.25">
      <c r="E29" s="2282">
        <f>+E28-E27</f>
        <v>0</v>
      </c>
      <c r="F29" s="853">
        <f>+F28-F27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2:J308"/>
  <sheetViews>
    <sheetView showZeros="0" view="pageBreakPreview" zoomScaleNormal="100" zoomScaleSheetLayoutView="100" workbookViewId="0">
      <pane ySplit="7" topLeftCell="A287" activePane="bottomLeft" state="frozen"/>
      <selection pane="bottomLeft" activeCell="I304" sqref="I304"/>
    </sheetView>
  </sheetViews>
  <sheetFormatPr baseColWidth="10" defaultRowHeight="12.75" x14ac:dyDescent="0.2"/>
  <cols>
    <col min="1" max="1" width="4.28515625" style="4" customWidth="1"/>
    <col min="2" max="2" width="61.42578125" style="2" customWidth="1"/>
    <col min="3" max="3" width="16.28515625" style="5" customWidth="1"/>
    <col min="4" max="4" width="15.140625" style="6" customWidth="1"/>
    <col min="5" max="5" width="12.140625" style="40" customWidth="1"/>
    <col min="6" max="6" width="12.140625" style="2" customWidth="1"/>
    <col min="7" max="7" width="11.7109375" style="2" customWidth="1"/>
    <col min="8" max="8" width="14.140625" style="2" customWidth="1"/>
    <col min="9" max="9" width="13.5703125" style="2" customWidth="1"/>
    <col min="10" max="10" width="9.5703125" style="2" customWidth="1"/>
    <col min="11" max="16384" width="11.42578125" style="2"/>
  </cols>
  <sheetData>
    <row r="2" spans="1:10" ht="16.5" customHeight="1" x14ac:dyDescent="0.2">
      <c r="A2" s="2346" t="s">
        <v>17</v>
      </c>
      <c r="B2" s="2347"/>
      <c r="C2" s="77"/>
      <c r="D2" s="1620"/>
      <c r="E2" s="78"/>
      <c r="F2" s="79"/>
      <c r="G2" s="124"/>
      <c r="H2" s="124"/>
      <c r="I2" s="124"/>
      <c r="J2" s="86"/>
    </row>
    <row r="3" spans="1:10" ht="15.75" customHeight="1" x14ac:dyDescent="0.2">
      <c r="A3" s="2328" t="s">
        <v>2779</v>
      </c>
      <c r="B3" s="2329"/>
      <c r="C3" s="2329"/>
      <c r="D3" s="2329"/>
      <c r="E3" s="2329"/>
      <c r="F3" s="2329"/>
      <c r="G3" s="2329"/>
      <c r="H3" s="2329"/>
      <c r="I3" s="2329"/>
      <c r="J3" s="2330"/>
    </row>
    <row r="4" spans="1:10" ht="25.5" customHeight="1" x14ac:dyDescent="0.2">
      <c r="A4" s="2336" t="s">
        <v>941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0" ht="16.5" customHeight="1" x14ac:dyDescent="0.2">
      <c r="A5" s="2339" t="s">
        <v>11</v>
      </c>
      <c r="B5" s="2340"/>
      <c r="C5" s="2340"/>
      <c r="D5" s="2340"/>
      <c r="E5" s="2340"/>
      <c r="F5" s="2340"/>
      <c r="G5" s="2340"/>
      <c r="H5" s="2340"/>
      <c r="I5" s="2340"/>
      <c r="J5" s="2341"/>
    </row>
    <row r="6" spans="1:10" ht="18" customHeight="1" x14ac:dyDescent="0.2">
      <c r="A6" s="2348" t="s">
        <v>0</v>
      </c>
      <c r="B6" s="2348" t="s">
        <v>1</v>
      </c>
      <c r="C6" s="2348" t="s">
        <v>2</v>
      </c>
      <c r="D6" s="2335" t="s">
        <v>773</v>
      </c>
      <c r="E6" s="2335"/>
      <c r="F6" s="2335"/>
      <c r="G6" s="2335"/>
      <c r="H6" s="2335" t="s">
        <v>774</v>
      </c>
      <c r="I6" s="2335"/>
      <c r="J6" s="2335"/>
    </row>
    <row r="7" spans="1:10" ht="25.5" x14ac:dyDescent="0.2">
      <c r="A7" s="2348"/>
      <c r="B7" s="2348"/>
      <c r="C7" s="2348"/>
      <c r="D7" s="1617" t="s">
        <v>3</v>
      </c>
      <c r="E7" s="1617" t="s">
        <v>4</v>
      </c>
      <c r="F7" s="1617" t="s">
        <v>747</v>
      </c>
      <c r="G7" s="1617" t="s">
        <v>746</v>
      </c>
      <c r="H7" s="88" t="s">
        <v>748</v>
      </c>
      <c r="I7" s="1617" t="s">
        <v>747</v>
      </c>
      <c r="J7" s="1617" t="s">
        <v>746</v>
      </c>
    </row>
    <row r="8" spans="1:10" ht="14.25" customHeight="1" x14ac:dyDescent="0.2">
      <c r="A8" s="90"/>
      <c r="C8" s="2343" t="s">
        <v>971</v>
      </c>
      <c r="D8" s="2344"/>
      <c r="E8" s="2344"/>
      <c r="F8" s="2344"/>
      <c r="G8" s="2345"/>
      <c r="H8" s="99">
        <f>+H9+H299+H301+H303+H305</f>
        <v>331044335</v>
      </c>
      <c r="I8" s="103">
        <f>+I9+I299+I301+I303+I305</f>
        <v>130105799.11999999</v>
      </c>
      <c r="J8" s="100">
        <f>+I8/H8*100</f>
        <v>39.301623790058208</v>
      </c>
    </row>
    <row r="9" spans="1:10" ht="18" customHeight="1" x14ac:dyDescent="0.2">
      <c r="A9" s="2342" t="s">
        <v>72</v>
      </c>
      <c r="B9" s="2342"/>
      <c r="C9" s="46"/>
      <c r="D9" s="46"/>
      <c r="E9" s="21"/>
      <c r="F9" s="21"/>
      <c r="G9" s="21"/>
      <c r="H9" s="27">
        <f>+H10+H90</f>
        <v>295322183</v>
      </c>
      <c r="I9" s="682">
        <f>+I10+I90</f>
        <v>122444317.39999999</v>
      </c>
      <c r="J9" s="96">
        <f t="shared" ref="J9:J13" si="0">+I9/H9*100</f>
        <v>41.461266524634887</v>
      </c>
    </row>
    <row r="10" spans="1:10" ht="15" customHeight="1" x14ac:dyDescent="0.2">
      <c r="A10" s="64"/>
      <c r="B10" s="51" t="s">
        <v>942</v>
      </c>
      <c r="C10" s="45"/>
      <c r="D10" s="45"/>
      <c r="E10" s="51"/>
      <c r="F10" s="51"/>
      <c r="G10" s="51"/>
      <c r="H10" s="53">
        <f>+H11+H61</f>
        <v>266363</v>
      </c>
      <c r="I10" s="94">
        <f>+I11+I61</f>
        <v>73932</v>
      </c>
      <c r="J10" s="62">
        <f t="shared" si="0"/>
        <v>27.756107267150465</v>
      </c>
    </row>
    <row r="11" spans="1:10" ht="15" customHeight="1" x14ac:dyDescent="0.2">
      <c r="A11" s="64"/>
      <c r="B11" s="1528" t="s">
        <v>988</v>
      </c>
      <c r="C11" s="1529"/>
      <c r="D11" s="1529"/>
      <c r="E11" s="1528"/>
      <c r="F11" s="1528"/>
      <c r="G11" s="1528"/>
      <c r="H11" s="20">
        <f>+H12+H16+H20+H24+H28+H37+H41+H46+H50+H55</f>
        <v>155829</v>
      </c>
      <c r="I11" s="1530">
        <f>+I12+I16+I20+I24+I28+I37+I41+I46+I50+I55</f>
        <v>28230</v>
      </c>
      <c r="J11" s="87">
        <f t="shared" si="0"/>
        <v>18.116011782145812</v>
      </c>
    </row>
    <row r="12" spans="1:10" ht="17.25" customHeight="1" x14ac:dyDescent="0.2">
      <c r="A12" s="30">
        <v>1</v>
      </c>
      <c r="B12" s="52" t="s">
        <v>972</v>
      </c>
      <c r="C12" s="63"/>
      <c r="D12" s="63"/>
      <c r="E12" s="52"/>
      <c r="F12" s="52"/>
      <c r="G12" s="52"/>
      <c r="H12" s="56">
        <f>SUM(H13:H15)</f>
        <v>1250</v>
      </c>
      <c r="I12" s="62">
        <f>SUM(I13:I15)</f>
        <v>200</v>
      </c>
      <c r="J12" s="62">
        <f t="shared" si="0"/>
        <v>16</v>
      </c>
    </row>
    <row r="13" spans="1:10" ht="25.5" x14ac:dyDescent="0.2">
      <c r="A13" s="61">
        <v>1.1000000000000001</v>
      </c>
      <c r="B13" s="104" t="s">
        <v>943</v>
      </c>
      <c r="C13" s="60" t="s">
        <v>32</v>
      </c>
      <c r="D13" s="60" t="s">
        <v>74</v>
      </c>
      <c r="E13" s="131">
        <v>1</v>
      </c>
      <c r="F13" s="131">
        <v>1</v>
      </c>
      <c r="G13" s="105">
        <f>(F13*100)/E13</f>
        <v>100</v>
      </c>
      <c r="H13" s="58">
        <v>50</v>
      </c>
      <c r="I13" s="102">
        <v>50</v>
      </c>
      <c r="J13" s="102">
        <f t="shared" si="0"/>
        <v>100</v>
      </c>
    </row>
    <row r="14" spans="1:10" ht="19.5" customHeight="1" x14ac:dyDescent="0.2">
      <c r="A14" s="61">
        <v>1.2</v>
      </c>
      <c r="B14" s="104" t="s">
        <v>397</v>
      </c>
      <c r="C14" s="60" t="s">
        <v>32</v>
      </c>
      <c r="D14" s="60" t="s">
        <v>75</v>
      </c>
      <c r="E14" s="131">
        <v>2</v>
      </c>
      <c r="F14" s="131">
        <v>1</v>
      </c>
      <c r="G14" s="105">
        <f>(F14*100)/E14</f>
        <v>50</v>
      </c>
      <c r="H14" s="58">
        <v>0</v>
      </c>
      <c r="I14" s="102">
        <v>0</v>
      </c>
      <c r="J14" s="102"/>
    </row>
    <row r="15" spans="1:10" ht="25.5" x14ac:dyDescent="0.2">
      <c r="A15" s="61">
        <v>1.3</v>
      </c>
      <c r="B15" s="104" t="s">
        <v>76</v>
      </c>
      <c r="C15" s="60" t="s">
        <v>32</v>
      </c>
      <c r="D15" s="60" t="s">
        <v>77</v>
      </c>
      <c r="E15" s="131">
        <v>3</v>
      </c>
      <c r="F15" s="131">
        <v>2</v>
      </c>
      <c r="G15" s="105">
        <f t="shared" ref="G15:G60" si="1">(F15*100)/E15</f>
        <v>66.666666666666671</v>
      </c>
      <c r="H15" s="58">
        <v>1200</v>
      </c>
      <c r="I15" s="102">
        <v>150</v>
      </c>
      <c r="J15" s="102">
        <f t="shared" ref="J15" si="2">+I15/H15*100</f>
        <v>12.5</v>
      </c>
    </row>
    <row r="16" spans="1:10" ht="26.25" customHeight="1" x14ac:dyDescent="0.2">
      <c r="A16" s="30">
        <v>2</v>
      </c>
      <c r="B16" s="51" t="s">
        <v>944</v>
      </c>
      <c r="C16" s="45"/>
      <c r="D16" s="45"/>
      <c r="E16" s="24"/>
      <c r="F16" s="24"/>
      <c r="G16" s="51"/>
      <c r="H16" s="56">
        <f>SUM(H17:H19)</f>
        <v>4300</v>
      </c>
      <c r="I16" s="62">
        <f>SUM(I17:I19)</f>
        <v>100</v>
      </c>
      <c r="J16" s="62">
        <f>+I16/H16*100</f>
        <v>2.3255813953488373</v>
      </c>
    </row>
    <row r="17" spans="1:10" ht="25.5" x14ac:dyDescent="0.2">
      <c r="A17" s="61">
        <v>2.1</v>
      </c>
      <c r="B17" s="89" t="s">
        <v>963</v>
      </c>
      <c r="C17" s="60" t="s">
        <v>32</v>
      </c>
      <c r="D17" s="60" t="s">
        <v>398</v>
      </c>
      <c r="E17" s="131">
        <v>1</v>
      </c>
      <c r="F17" s="131">
        <v>1</v>
      </c>
      <c r="G17" s="105">
        <f t="shared" si="1"/>
        <v>100</v>
      </c>
      <c r="H17" s="58">
        <v>800</v>
      </c>
      <c r="I17" s="102">
        <v>100</v>
      </c>
      <c r="J17" s="102">
        <f>I17*100/H17</f>
        <v>12.5</v>
      </c>
    </row>
    <row r="18" spans="1:10" ht="38.25" x14ac:dyDescent="0.2">
      <c r="A18" s="61">
        <v>2.1</v>
      </c>
      <c r="B18" s="89" t="s">
        <v>964</v>
      </c>
      <c r="C18" s="60" t="s">
        <v>32</v>
      </c>
      <c r="D18" s="60" t="s">
        <v>77</v>
      </c>
      <c r="E18" s="131">
        <v>1</v>
      </c>
      <c r="F18" s="131">
        <v>0</v>
      </c>
      <c r="G18" s="105">
        <f t="shared" si="1"/>
        <v>0</v>
      </c>
      <c r="H18" s="58">
        <v>1200</v>
      </c>
      <c r="I18" s="102">
        <v>0</v>
      </c>
      <c r="J18" s="102">
        <f>I18*100/H18</f>
        <v>0</v>
      </c>
    </row>
    <row r="19" spans="1:10" ht="63.75" x14ac:dyDescent="0.2">
      <c r="A19" s="61">
        <v>2.2000000000000002</v>
      </c>
      <c r="B19" s="89" t="s">
        <v>965</v>
      </c>
      <c r="C19" s="60" t="s">
        <v>32</v>
      </c>
      <c r="D19" s="41" t="s">
        <v>945</v>
      </c>
      <c r="E19" s="131">
        <v>1</v>
      </c>
      <c r="F19" s="131">
        <v>0</v>
      </c>
      <c r="G19" s="105">
        <f t="shared" si="1"/>
        <v>0</v>
      </c>
      <c r="H19" s="58">
        <v>2300</v>
      </c>
      <c r="I19" s="102">
        <v>0</v>
      </c>
      <c r="J19" s="102">
        <v>0</v>
      </c>
    </row>
    <row r="20" spans="1:10" ht="38.25" x14ac:dyDescent="0.2">
      <c r="A20" s="30">
        <v>3</v>
      </c>
      <c r="B20" s="51" t="s">
        <v>966</v>
      </c>
      <c r="C20" s="45"/>
      <c r="D20" s="45"/>
      <c r="E20" s="24"/>
      <c r="F20" s="24"/>
      <c r="G20" s="51"/>
      <c r="H20" s="56">
        <f>SUM(H21:H23)</f>
        <v>3598</v>
      </c>
      <c r="I20" s="62">
        <f>SUM(I21:I23)</f>
        <v>400</v>
      </c>
      <c r="J20" s="62">
        <f>+I20/H20*100</f>
        <v>11.117287381878821</v>
      </c>
    </row>
    <row r="21" spans="1:10" ht="51" x14ac:dyDescent="0.2">
      <c r="A21" s="61">
        <v>3.1</v>
      </c>
      <c r="B21" s="89" t="s">
        <v>399</v>
      </c>
      <c r="C21" s="60" t="s">
        <v>32</v>
      </c>
      <c r="D21" s="60" t="s">
        <v>59</v>
      </c>
      <c r="E21" s="131">
        <v>1</v>
      </c>
      <c r="F21" s="131">
        <v>1</v>
      </c>
      <c r="G21" s="105">
        <f t="shared" si="1"/>
        <v>100</v>
      </c>
      <c r="H21" s="18">
        <v>1200</v>
      </c>
      <c r="I21" s="109">
        <v>200</v>
      </c>
      <c r="J21" s="102">
        <f>I21*100/H21</f>
        <v>16.666666666666668</v>
      </c>
    </row>
    <row r="22" spans="1:10" ht="25.5" x14ac:dyDescent="0.2">
      <c r="A22" s="61">
        <v>3.2</v>
      </c>
      <c r="B22" s="89" t="s">
        <v>946</v>
      </c>
      <c r="C22" s="60" t="s">
        <v>32</v>
      </c>
      <c r="D22" s="60" t="s">
        <v>400</v>
      </c>
      <c r="E22" s="131">
        <v>6</v>
      </c>
      <c r="F22" s="131">
        <v>3</v>
      </c>
      <c r="G22" s="105">
        <f t="shared" si="1"/>
        <v>50</v>
      </c>
      <c r="H22" s="58">
        <v>898</v>
      </c>
      <c r="I22" s="110">
        <v>100</v>
      </c>
      <c r="J22" s="102">
        <f>I22*100/H22</f>
        <v>11.135857461024498</v>
      </c>
    </row>
    <row r="23" spans="1:10" ht="38.25" x14ac:dyDescent="0.2">
      <c r="A23" s="61">
        <v>3.3</v>
      </c>
      <c r="B23" s="89" t="s">
        <v>967</v>
      </c>
      <c r="C23" s="60" t="s">
        <v>32</v>
      </c>
      <c r="D23" s="60" t="s">
        <v>77</v>
      </c>
      <c r="E23" s="131">
        <v>2</v>
      </c>
      <c r="F23" s="131">
        <v>1</v>
      </c>
      <c r="G23" s="105">
        <f t="shared" si="1"/>
        <v>50</v>
      </c>
      <c r="H23" s="58">
        <v>1500</v>
      </c>
      <c r="I23" s="110">
        <v>100</v>
      </c>
      <c r="J23" s="102">
        <f>I23*100/H23</f>
        <v>6.666666666666667</v>
      </c>
    </row>
    <row r="24" spans="1:10" ht="38.25" x14ac:dyDescent="0.2">
      <c r="A24" s="30">
        <v>4</v>
      </c>
      <c r="B24" s="51" t="s">
        <v>968</v>
      </c>
      <c r="C24" s="45"/>
      <c r="D24" s="45"/>
      <c r="E24" s="24"/>
      <c r="F24" s="24"/>
      <c r="G24" s="51"/>
      <c r="H24" s="56">
        <f>SUM(H25:H27)</f>
        <v>2400</v>
      </c>
      <c r="I24" s="62">
        <f>SUM(I25:I27)</f>
        <v>300</v>
      </c>
      <c r="J24" s="62">
        <f>+I24/H24*100</f>
        <v>12.5</v>
      </c>
    </row>
    <row r="25" spans="1:10" ht="25.5" x14ac:dyDescent="0.2">
      <c r="A25" s="61">
        <v>4.0999999999999996</v>
      </c>
      <c r="B25" s="89" t="s">
        <v>78</v>
      </c>
      <c r="C25" s="60" t="s">
        <v>32</v>
      </c>
      <c r="D25" s="41" t="s">
        <v>79</v>
      </c>
      <c r="E25" s="131">
        <v>4</v>
      </c>
      <c r="F25" s="131">
        <v>2</v>
      </c>
      <c r="G25" s="105">
        <f t="shared" si="1"/>
        <v>50</v>
      </c>
      <c r="H25" s="58">
        <v>0</v>
      </c>
      <c r="I25" s="102">
        <v>0</v>
      </c>
      <c r="J25" s="102">
        <v>0</v>
      </c>
    </row>
    <row r="26" spans="1:10" ht="25.5" x14ac:dyDescent="0.2">
      <c r="A26" s="61">
        <v>4.2</v>
      </c>
      <c r="B26" s="89" t="s">
        <v>969</v>
      </c>
      <c r="C26" s="60" t="s">
        <v>37</v>
      </c>
      <c r="D26" s="60" t="s">
        <v>77</v>
      </c>
      <c r="E26" s="131">
        <v>4</v>
      </c>
      <c r="F26" s="131">
        <v>2</v>
      </c>
      <c r="G26" s="105">
        <f t="shared" si="1"/>
        <v>50</v>
      </c>
      <c r="H26" s="18">
        <v>1200</v>
      </c>
      <c r="I26" s="91">
        <v>150</v>
      </c>
      <c r="J26" s="102">
        <f>I26*100/H26</f>
        <v>12.5</v>
      </c>
    </row>
    <row r="27" spans="1:10" ht="25.5" x14ac:dyDescent="0.2">
      <c r="A27" s="61">
        <v>4.3</v>
      </c>
      <c r="B27" s="89" t="s">
        <v>80</v>
      </c>
      <c r="C27" s="60" t="s">
        <v>37</v>
      </c>
      <c r="D27" s="41" t="s">
        <v>945</v>
      </c>
      <c r="E27" s="131">
        <v>3</v>
      </c>
      <c r="F27" s="131">
        <v>1</v>
      </c>
      <c r="G27" s="105">
        <f t="shared" si="1"/>
        <v>33.333333333333336</v>
      </c>
      <c r="H27" s="58">
        <v>1200</v>
      </c>
      <c r="I27" s="102">
        <v>150</v>
      </c>
      <c r="J27" s="102">
        <f>I27*100/H27</f>
        <v>12.5</v>
      </c>
    </row>
    <row r="28" spans="1:10" ht="76.5" x14ac:dyDescent="0.2">
      <c r="A28" s="106">
        <v>5</v>
      </c>
      <c r="B28" s="51" t="s">
        <v>401</v>
      </c>
      <c r="C28" s="45"/>
      <c r="D28" s="45"/>
      <c r="E28" s="24"/>
      <c r="F28" s="24"/>
      <c r="G28" s="51"/>
      <c r="H28" s="53">
        <f>SUM(H29:H36)</f>
        <v>57060</v>
      </c>
      <c r="I28" s="94">
        <f>SUM(I29:I36)</f>
        <v>565</v>
      </c>
      <c r="J28" s="62">
        <f>I28*100/H28</f>
        <v>0.99018576936558012</v>
      </c>
    </row>
    <row r="29" spans="1:10" ht="25.5" x14ac:dyDescent="0.2">
      <c r="A29" s="61">
        <v>5.0999999999999996</v>
      </c>
      <c r="B29" s="89" t="s">
        <v>2510</v>
      </c>
      <c r="C29" s="60" t="s">
        <v>32</v>
      </c>
      <c r="D29" s="60" t="s">
        <v>75</v>
      </c>
      <c r="E29" s="131">
        <v>2</v>
      </c>
      <c r="F29" s="131">
        <v>1</v>
      </c>
      <c r="G29" s="105">
        <f t="shared" si="1"/>
        <v>50</v>
      </c>
      <c r="H29" s="58">
        <v>0</v>
      </c>
      <c r="I29" s="102">
        <v>0</v>
      </c>
      <c r="J29" s="102">
        <v>0</v>
      </c>
    </row>
    <row r="30" spans="1:10" ht="38.25" x14ac:dyDescent="0.2">
      <c r="A30" s="61">
        <v>5.2</v>
      </c>
      <c r="B30" s="89" t="s">
        <v>961</v>
      </c>
      <c r="C30" s="60" t="s">
        <v>32</v>
      </c>
      <c r="D30" s="60" t="s">
        <v>59</v>
      </c>
      <c r="E30" s="131">
        <v>1</v>
      </c>
      <c r="F30" s="131"/>
      <c r="G30" s="105">
        <f t="shared" si="1"/>
        <v>0</v>
      </c>
      <c r="H30" s="18">
        <v>48200</v>
      </c>
      <c r="I30" s="91">
        <v>0</v>
      </c>
      <c r="J30" s="91">
        <v>0</v>
      </c>
    </row>
    <row r="31" spans="1:10" ht="20.25" customHeight="1" x14ac:dyDescent="0.2">
      <c r="A31" s="61">
        <v>5.3</v>
      </c>
      <c r="B31" s="89" t="s">
        <v>962</v>
      </c>
      <c r="C31" s="60" t="s">
        <v>32</v>
      </c>
      <c r="D31" s="60" t="s">
        <v>81</v>
      </c>
      <c r="E31" s="131">
        <v>1</v>
      </c>
      <c r="F31" s="131">
        <v>1</v>
      </c>
      <c r="G31" s="105">
        <f t="shared" si="1"/>
        <v>100</v>
      </c>
      <c r="H31" s="58">
        <v>600</v>
      </c>
      <c r="I31" s="102">
        <v>150</v>
      </c>
      <c r="J31" s="102">
        <f>I31*100/H31</f>
        <v>25</v>
      </c>
    </row>
    <row r="32" spans="1:10" ht="25.5" x14ac:dyDescent="0.2">
      <c r="A32" s="61">
        <v>5.4</v>
      </c>
      <c r="B32" s="89" t="s">
        <v>402</v>
      </c>
      <c r="C32" s="60" t="s">
        <v>32</v>
      </c>
      <c r="D32" s="60" t="s">
        <v>77</v>
      </c>
      <c r="E32" s="131">
        <v>2</v>
      </c>
      <c r="F32" s="131">
        <v>1</v>
      </c>
      <c r="G32" s="105">
        <f t="shared" si="1"/>
        <v>50</v>
      </c>
      <c r="H32" s="58">
        <v>1200</v>
      </c>
      <c r="I32" s="102">
        <v>150</v>
      </c>
      <c r="J32" s="102">
        <f t="shared" ref="J32:J45" si="3">I32*100/H32</f>
        <v>12.5</v>
      </c>
    </row>
    <row r="33" spans="1:10" ht="18" customHeight="1" x14ac:dyDescent="0.2">
      <c r="A33" s="61">
        <v>5.5</v>
      </c>
      <c r="B33" s="89" t="s">
        <v>82</v>
      </c>
      <c r="C33" s="60" t="s">
        <v>32</v>
      </c>
      <c r="D33" s="60" t="s">
        <v>75</v>
      </c>
      <c r="E33" s="131">
        <v>3</v>
      </c>
      <c r="F33" s="131">
        <v>2</v>
      </c>
      <c r="G33" s="105">
        <f t="shared" si="1"/>
        <v>66.666666666666671</v>
      </c>
      <c r="H33" s="58">
        <v>1600</v>
      </c>
      <c r="I33" s="102">
        <v>200</v>
      </c>
      <c r="J33" s="102">
        <f t="shared" si="3"/>
        <v>12.5</v>
      </c>
    </row>
    <row r="34" spans="1:10" ht="16.5" customHeight="1" x14ac:dyDescent="0.2">
      <c r="A34" s="61">
        <v>5.6</v>
      </c>
      <c r="B34" s="89" t="s">
        <v>83</v>
      </c>
      <c r="C34" s="60" t="s">
        <v>32</v>
      </c>
      <c r="D34" s="60" t="s">
        <v>75</v>
      </c>
      <c r="E34" s="131">
        <v>3</v>
      </c>
      <c r="F34" s="131">
        <v>2</v>
      </c>
      <c r="G34" s="105">
        <f t="shared" si="1"/>
        <v>66.666666666666671</v>
      </c>
      <c r="H34" s="58">
        <v>0</v>
      </c>
      <c r="I34" s="102">
        <v>0</v>
      </c>
      <c r="J34" s="102">
        <v>0</v>
      </c>
    </row>
    <row r="35" spans="1:10" ht="25.5" x14ac:dyDescent="0.2">
      <c r="A35" s="61">
        <v>5.7</v>
      </c>
      <c r="B35" s="89" t="s">
        <v>403</v>
      </c>
      <c r="C35" s="60" t="s">
        <v>32</v>
      </c>
      <c r="D35" s="60" t="s">
        <v>75</v>
      </c>
      <c r="E35" s="131">
        <v>2</v>
      </c>
      <c r="F35" s="131">
        <v>1</v>
      </c>
      <c r="G35" s="105">
        <f t="shared" si="1"/>
        <v>50</v>
      </c>
      <c r="H35" s="58">
        <v>260</v>
      </c>
      <c r="I35" s="102">
        <v>65</v>
      </c>
      <c r="J35" s="102">
        <f t="shared" si="3"/>
        <v>25</v>
      </c>
    </row>
    <row r="36" spans="1:10" ht="38.25" x14ac:dyDescent="0.2">
      <c r="A36" s="61" t="s">
        <v>947</v>
      </c>
      <c r="B36" s="89" t="s">
        <v>958</v>
      </c>
      <c r="C36" s="60" t="s">
        <v>32</v>
      </c>
      <c r="D36" s="60" t="s">
        <v>450</v>
      </c>
      <c r="E36" s="131">
        <v>2</v>
      </c>
      <c r="F36" s="131">
        <v>0</v>
      </c>
      <c r="G36" s="105">
        <f t="shared" si="1"/>
        <v>0</v>
      </c>
      <c r="H36" s="58">
        <v>5200</v>
      </c>
      <c r="I36" s="102">
        <v>0</v>
      </c>
      <c r="J36" s="102">
        <f t="shared" si="3"/>
        <v>0</v>
      </c>
    </row>
    <row r="37" spans="1:10" ht="38.25" x14ac:dyDescent="0.2">
      <c r="A37" s="30">
        <v>6</v>
      </c>
      <c r="B37" s="51" t="s">
        <v>404</v>
      </c>
      <c r="C37" s="45"/>
      <c r="D37" s="45"/>
      <c r="E37" s="24"/>
      <c r="F37" s="24"/>
      <c r="G37" s="51"/>
      <c r="H37" s="56">
        <f>SUM(H38:H40)</f>
        <v>17000</v>
      </c>
      <c r="I37" s="62">
        <f>SUM(I38:I40)</f>
        <v>200</v>
      </c>
      <c r="J37" s="62">
        <f>+I37/H37*100</f>
        <v>1.1764705882352942</v>
      </c>
    </row>
    <row r="38" spans="1:10" ht="38.25" x14ac:dyDescent="0.2">
      <c r="A38" s="101">
        <v>6.1</v>
      </c>
      <c r="B38" s="89" t="s">
        <v>948</v>
      </c>
      <c r="C38" s="60" t="s">
        <v>32</v>
      </c>
      <c r="D38" s="60" t="s">
        <v>949</v>
      </c>
      <c r="E38" s="131">
        <v>1</v>
      </c>
      <c r="F38" s="131">
        <v>1</v>
      </c>
      <c r="G38" s="105">
        <f t="shared" si="1"/>
        <v>100</v>
      </c>
      <c r="H38" s="58">
        <v>10000</v>
      </c>
      <c r="I38" s="102">
        <v>0</v>
      </c>
      <c r="J38" s="102">
        <f t="shared" si="3"/>
        <v>0</v>
      </c>
    </row>
    <row r="39" spans="1:10" ht="25.5" x14ac:dyDescent="0.2">
      <c r="A39" s="101">
        <v>6.2</v>
      </c>
      <c r="B39" s="89" t="s">
        <v>950</v>
      </c>
      <c r="C39" s="60" t="s">
        <v>32</v>
      </c>
      <c r="D39" s="60" t="s">
        <v>767</v>
      </c>
      <c r="E39" s="131">
        <v>2</v>
      </c>
      <c r="F39" s="131">
        <v>0</v>
      </c>
      <c r="G39" s="105">
        <f t="shared" si="1"/>
        <v>0</v>
      </c>
      <c r="H39" s="58">
        <v>5000</v>
      </c>
      <c r="I39" s="102">
        <v>0</v>
      </c>
      <c r="J39" s="102">
        <f t="shared" si="3"/>
        <v>0</v>
      </c>
    </row>
    <row r="40" spans="1:10" ht="38.25" x14ac:dyDescent="0.2">
      <c r="A40" s="101">
        <v>6.3</v>
      </c>
      <c r="B40" s="89" t="s">
        <v>951</v>
      </c>
      <c r="C40" s="60" t="s">
        <v>32</v>
      </c>
      <c r="D40" s="60" t="s">
        <v>59</v>
      </c>
      <c r="E40" s="131">
        <v>8</v>
      </c>
      <c r="F40" s="131">
        <v>4</v>
      </c>
      <c r="G40" s="105">
        <f t="shared" si="1"/>
        <v>50</v>
      </c>
      <c r="H40" s="58">
        <v>2000</v>
      </c>
      <c r="I40" s="102">
        <v>200</v>
      </c>
      <c r="J40" s="102">
        <f t="shared" si="3"/>
        <v>10</v>
      </c>
    </row>
    <row r="41" spans="1:10" ht="38.25" x14ac:dyDescent="0.2">
      <c r="A41" s="30">
        <v>7</v>
      </c>
      <c r="B41" s="51" t="s">
        <v>405</v>
      </c>
      <c r="C41" s="45"/>
      <c r="D41" s="45"/>
      <c r="E41" s="24"/>
      <c r="F41" s="24"/>
      <c r="G41" s="51"/>
      <c r="H41" s="56">
        <f>SUM(H42:H45)</f>
        <v>1600</v>
      </c>
      <c r="I41" s="62">
        <f>SUM(I42:I45)</f>
        <v>150</v>
      </c>
      <c r="J41" s="62">
        <f t="shared" si="3"/>
        <v>9.375</v>
      </c>
    </row>
    <row r="42" spans="1:10" ht="25.5" x14ac:dyDescent="0.2">
      <c r="A42" s="61">
        <v>7.1</v>
      </c>
      <c r="B42" s="89" t="s">
        <v>406</v>
      </c>
      <c r="C42" s="60" t="s">
        <v>32</v>
      </c>
      <c r="D42" s="60" t="s">
        <v>112</v>
      </c>
      <c r="E42" s="131">
        <v>4</v>
      </c>
      <c r="F42" s="131">
        <v>2</v>
      </c>
      <c r="G42" s="105">
        <f t="shared" si="1"/>
        <v>50</v>
      </c>
      <c r="H42" s="58">
        <v>400</v>
      </c>
      <c r="I42" s="102">
        <v>37.5</v>
      </c>
      <c r="J42" s="102">
        <f t="shared" si="3"/>
        <v>9.375</v>
      </c>
    </row>
    <row r="43" spans="1:10" ht="25.5" x14ac:dyDescent="0.2">
      <c r="A43" s="61">
        <v>7.2</v>
      </c>
      <c r="B43" s="89" t="s">
        <v>952</v>
      </c>
      <c r="C43" s="60" t="s">
        <v>32</v>
      </c>
      <c r="D43" s="60" t="s">
        <v>77</v>
      </c>
      <c r="E43" s="131">
        <v>2</v>
      </c>
      <c r="F43" s="131">
        <v>1</v>
      </c>
      <c r="G43" s="105">
        <f t="shared" si="1"/>
        <v>50</v>
      </c>
      <c r="H43" s="58">
        <v>400</v>
      </c>
      <c r="I43" s="102">
        <v>37.5</v>
      </c>
      <c r="J43" s="102">
        <f t="shared" si="3"/>
        <v>9.375</v>
      </c>
    </row>
    <row r="44" spans="1:10" ht="38.25" x14ac:dyDescent="0.2">
      <c r="A44" s="61">
        <v>7.3</v>
      </c>
      <c r="B44" s="89" t="s">
        <v>407</v>
      </c>
      <c r="C44" s="60" t="s">
        <v>32</v>
      </c>
      <c r="D44" s="60" t="s">
        <v>400</v>
      </c>
      <c r="E44" s="131">
        <v>2</v>
      </c>
      <c r="F44" s="131">
        <v>1</v>
      </c>
      <c r="G44" s="105">
        <f t="shared" si="1"/>
        <v>50</v>
      </c>
      <c r="H44" s="58">
        <v>400</v>
      </c>
      <c r="I44" s="102">
        <v>37.5</v>
      </c>
      <c r="J44" s="102">
        <f t="shared" si="3"/>
        <v>9.375</v>
      </c>
    </row>
    <row r="45" spans="1:10" ht="25.5" x14ac:dyDescent="0.2">
      <c r="A45" s="61">
        <v>7.4</v>
      </c>
      <c r="B45" s="89" t="s">
        <v>953</v>
      </c>
      <c r="C45" s="60" t="s">
        <v>32</v>
      </c>
      <c r="D45" s="60" t="s">
        <v>75</v>
      </c>
      <c r="E45" s="131">
        <v>2</v>
      </c>
      <c r="F45" s="131">
        <v>1</v>
      </c>
      <c r="G45" s="105">
        <f t="shared" si="1"/>
        <v>50</v>
      </c>
      <c r="H45" s="58">
        <v>400</v>
      </c>
      <c r="I45" s="102">
        <v>37.5</v>
      </c>
      <c r="J45" s="102">
        <f t="shared" si="3"/>
        <v>9.375</v>
      </c>
    </row>
    <row r="46" spans="1:10" ht="25.5" x14ac:dyDescent="0.2">
      <c r="A46" s="30">
        <v>8</v>
      </c>
      <c r="B46" s="51" t="s">
        <v>408</v>
      </c>
      <c r="C46" s="45"/>
      <c r="D46" s="45"/>
      <c r="E46" s="24"/>
      <c r="F46" s="24"/>
      <c r="G46" s="51"/>
      <c r="H46" s="56">
        <f>SUM(H47:H49)</f>
        <v>3800</v>
      </c>
      <c r="I46" s="62">
        <f>SUM(I47:I49)</f>
        <v>654.52</v>
      </c>
      <c r="J46" s="62">
        <f>+I46/H46*100</f>
        <v>17.22421052631579</v>
      </c>
    </row>
    <row r="47" spans="1:10" ht="25.5" x14ac:dyDescent="0.2">
      <c r="A47" s="61">
        <v>8.1</v>
      </c>
      <c r="B47" s="89" t="s">
        <v>409</v>
      </c>
      <c r="C47" s="60" t="s">
        <v>32</v>
      </c>
      <c r="D47" s="60" t="s">
        <v>77</v>
      </c>
      <c r="E47" s="131">
        <v>4</v>
      </c>
      <c r="F47" s="131">
        <v>2</v>
      </c>
      <c r="G47" s="105">
        <f t="shared" si="1"/>
        <v>50</v>
      </c>
      <c r="H47" s="58">
        <v>900</v>
      </c>
      <c r="I47" s="102">
        <v>250</v>
      </c>
      <c r="J47" s="102">
        <f>I47*100/H47</f>
        <v>27.777777777777779</v>
      </c>
    </row>
    <row r="48" spans="1:10" ht="25.5" x14ac:dyDescent="0.2">
      <c r="A48" s="61">
        <v>8.1999999999999993</v>
      </c>
      <c r="B48" s="89" t="s">
        <v>84</v>
      </c>
      <c r="C48" s="60" t="s">
        <v>37</v>
      </c>
      <c r="D48" s="60" t="s">
        <v>398</v>
      </c>
      <c r="E48" s="131">
        <v>2</v>
      </c>
      <c r="F48" s="131">
        <v>1</v>
      </c>
      <c r="G48" s="105">
        <f t="shared" si="1"/>
        <v>50</v>
      </c>
      <c r="H48" s="58">
        <v>900</v>
      </c>
      <c r="I48" s="102">
        <v>250</v>
      </c>
      <c r="J48" s="102">
        <f>I48*100/H48</f>
        <v>27.777777777777779</v>
      </c>
    </row>
    <row r="49" spans="1:10" ht="31.5" customHeight="1" x14ac:dyDescent="0.2">
      <c r="A49" s="61">
        <v>8.3000000000000007</v>
      </c>
      <c r="B49" s="89" t="s">
        <v>996</v>
      </c>
      <c r="C49" s="60" t="s">
        <v>32</v>
      </c>
      <c r="D49" s="60" t="s">
        <v>85</v>
      </c>
      <c r="E49" s="131">
        <v>1</v>
      </c>
      <c r="F49" s="131">
        <v>1</v>
      </c>
      <c r="G49" s="105">
        <f t="shared" si="1"/>
        <v>100</v>
      </c>
      <c r="H49" s="58">
        <v>2000</v>
      </c>
      <c r="I49" s="102">
        <f>300-145.48</f>
        <v>154.52000000000001</v>
      </c>
      <c r="J49" s="102">
        <v>25</v>
      </c>
    </row>
    <row r="50" spans="1:10" ht="38.25" x14ac:dyDescent="0.2">
      <c r="A50" s="33">
        <v>9</v>
      </c>
      <c r="B50" s="51" t="s">
        <v>410</v>
      </c>
      <c r="C50" s="42"/>
      <c r="D50" s="42"/>
      <c r="E50" s="13"/>
      <c r="F50" s="13"/>
      <c r="G50" s="9"/>
      <c r="H50" s="56">
        <f>SUM(H51:H54)</f>
        <v>4320</v>
      </c>
      <c r="I50" s="62">
        <f>SUM(I51:I54)</f>
        <v>550</v>
      </c>
      <c r="J50" s="62">
        <f>+I50/H50*100</f>
        <v>12.731481481481483</v>
      </c>
    </row>
    <row r="51" spans="1:10" ht="25.5" x14ac:dyDescent="0.2">
      <c r="A51" s="61">
        <v>9.1</v>
      </c>
      <c r="B51" s="89" t="s">
        <v>86</v>
      </c>
      <c r="C51" s="60" t="s">
        <v>32</v>
      </c>
      <c r="D51" s="92" t="s">
        <v>954</v>
      </c>
      <c r="E51" s="131">
        <v>2</v>
      </c>
      <c r="F51" s="131">
        <v>1</v>
      </c>
      <c r="G51" s="105">
        <f t="shared" si="1"/>
        <v>50</v>
      </c>
      <c r="H51" s="58">
        <v>1600</v>
      </c>
      <c r="I51" s="102">
        <v>150</v>
      </c>
      <c r="J51" s="102">
        <f>I51*100/H51</f>
        <v>9.375</v>
      </c>
    </row>
    <row r="52" spans="1:10" ht="25.5" x14ac:dyDescent="0.2">
      <c r="A52" s="61">
        <v>9.1999999999999993</v>
      </c>
      <c r="B52" s="89" t="s">
        <v>87</v>
      </c>
      <c r="C52" s="60" t="s">
        <v>37</v>
      </c>
      <c r="D52" s="60" t="s">
        <v>88</v>
      </c>
      <c r="E52" s="131">
        <v>3</v>
      </c>
      <c r="F52" s="131">
        <v>1</v>
      </c>
      <c r="G52" s="105">
        <f t="shared" si="1"/>
        <v>33.333333333333336</v>
      </c>
      <c r="H52" s="58">
        <v>320</v>
      </c>
      <c r="I52" s="102">
        <v>100</v>
      </c>
      <c r="J52" s="102">
        <f>I52*100/H52</f>
        <v>31.25</v>
      </c>
    </row>
    <row r="53" spans="1:10" ht="38.25" x14ac:dyDescent="0.2">
      <c r="A53" s="61">
        <v>9.3000000000000007</v>
      </c>
      <c r="B53" s="89" t="s">
        <v>955</v>
      </c>
      <c r="C53" s="60" t="s">
        <v>32</v>
      </c>
      <c r="D53" s="60" t="s">
        <v>77</v>
      </c>
      <c r="E53" s="131">
        <v>6</v>
      </c>
      <c r="F53" s="131">
        <v>3</v>
      </c>
      <c r="G53" s="105">
        <f t="shared" si="1"/>
        <v>50</v>
      </c>
      <c r="H53" s="58">
        <v>1200</v>
      </c>
      <c r="I53" s="102">
        <v>150</v>
      </c>
      <c r="J53" s="102">
        <f>I53*100/H53</f>
        <v>12.5</v>
      </c>
    </row>
    <row r="54" spans="1:10" ht="25.5" x14ac:dyDescent="0.2">
      <c r="A54" s="61">
        <v>9.4</v>
      </c>
      <c r="B54" s="89" t="s">
        <v>956</v>
      </c>
      <c r="C54" s="60" t="s">
        <v>37</v>
      </c>
      <c r="D54" s="60" t="s">
        <v>77</v>
      </c>
      <c r="E54" s="131">
        <v>2</v>
      </c>
      <c r="F54" s="131">
        <v>1</v>
      </c>
      <c r="G54" s="105">
        <f t="shared" si="1"/>
        <v>50</v>
      </c>
      <c r="H54" s="58">
        <v>1200</v>
      </c>
      <c r="I54" s="102">
        <v>150</v>
      </c>
      <c r="J54" s="102">
        <f>I54*100/H54</f>
        <v>12.5</v>
      </c>
    </row>
    <row r="55" spans="1:10" ht="25.5" x14ac:dyDescent="0.2">
      <c r="A55" s="30">
        <v>10</v>
      </c>
      <c r="B55" s="51" t="s">
        <v>411</v>
      </c>
      <c r="C55" s="45"/>
      <c r="D55" s="45"/>
      <c r="E55" s="24"/>
      <c r="F55" s="24"/>
      <c r="G55" s="51"/>
      <c r="H55" s="56">
        <f>+H57+H58</f>
        <v>60501</v>
      </c>
      <c r="I55" s="62">
        <f>+I57+I58</f>
        <v>25110.48</v>
      </c>
      <c r="J55" s="62">
        <f>+I55/H55*100</f>
        <v>41.504239599345468</v>
      </c>
    </row>
    <row r="56" spans="1:10" ht="28.5" customHeight="1" x14ac:dyDescent="0.2">
      <c r="A56" s="61">
        <v>10.1</v>
      </c>
      <c r="B56" s="89" t="s">
        <v>412</v>
      </c>
      <c r="C56" s="60" t="s">
        <v>32</v>
      </c>
      <c r="D56" s="60" t="s">
        <v>112</v>
      </c>
      <c r="E56" s="131">
        <v>1</v>
      </c>
      <c r="F56" s="131"/>
      <c r="G56" s="105">
        <f t="shared" si="1"/>
        <v>0</v>
      </c>
      <c r="H56" s="58">
        <v>0</v>
      </c>
      <c r="I56" s="102">
        <v>0</v>
      </c>
      <c r="J56" s="102">
        <v>0</v>
      </c>
    </row>
    <row r="57" spans="1:10" ht="38.25" x14ac:dyDescent="0.2">
      <c r="A57" s="61">
        <v>10.199999999999999</v>
      </c>
      <c r="B57" s="104" t="s">
        <v>957</v>
      </c>
      <c r="C57" s="60" t="s">
        <v>37</v>
      </c>
      <c r="D57" s="60" t="s">
        <v>945</v>
      </c>
      <c r="E57" s="131">
        <v>3</v>
      </c>
      <c r="F57" s="131">
        <v>1</v>
      </c>
      <c r="G57" s="105">
        <f t="shared" si="1"/>
        <v>33.333333333333336</v>
      </c>
      <c r="H57" s="58">
        <v>3200</v>
      </c>
      <c r="I57" s="102">
        <v>150</v>
      </c>
      <c r="J57" s="102">
        <f>I57*100/H57</f>
        <v>4.6875</v>
      </c>
    </row>
    <row r="58" spans="1:10" ht="18" customHeight="1" x14ac:dyDescent="0.2">
      <c r="A58" s="30">
        <v>11</v>
      </c>
      <c r="B58" s="107" t="s">
        <v>970</v>
      </c>
      <c r="C58" s="63"/>
      <c r="D58" s="63"/>
      <c r="E58" s="70"/>
      <c r="F58" s="70"/>
      <c r="G58" s="108"/>
      <c r="H58" s="56">
        <f>SUM(H59:H60)</f>
        <v>57301</v>
      </c>
      <c r="I58" s="62">
        <f>SUM(I59:I60)</f>
        <v>24960.48</v>
      </c>
      <c r="J58" s="62">
        <f>+I58/H58*100</f>
        <v>43.560286905987681</v>
      </c>
    </row>
    <row r="59" spans="1:10" ht="16.5" customHeight="1" x14ac:dyDescent="0.2">
      <c r="A59" s="61">
        <v>11.1</v>
      </c>
      <c r="B59" s="104" t="s">
        <v>959</v>
      </c>
      <c r="C59" s="60" t="s">
        <v>37</v>
      </c>
      <c r="D59" s="60" t="s">
        <v>38</v>
      </c>
      <c r="E59" s="131">
        <v>4</v>
      </c>
      <c r="F59" s="131">
        <v>4</v>
      </c>
      <c r="G59" s="105">
        <f t="shared" si="1"/>
        <v>100</v>
      </c>
      <c r="H59" s="58">
        <v>55222</v>
      </c>
      <c r="I59" s="102">
        <f>27015.69-2990.76</f>
        <v>24024.93</v>
      </c>
      <c r="J59" s="102">
        <v>55.3</v>
      </c>
    </row>
    <row r="60" spans="1:10" ht="18.75" customHeight="1" x14ac:dyDescent="0.2">
      <c r="A60" s="61">
        <v>11.2</v>
      </c>
      <c r="B60" s="104" t="s">
        <v>960</v>
      </c>
      <c r="C60" s="60" t="s">
        <v>37</v>
      </c>
      <c r="D60" s="60" t="s">
        <v>38</v>
      </c>
      <c r="E60" s="131">
        <v>4</v>
      </c>
      <c r="F60" s="131">
        <v>4</v>
      </c>
      <c r="G60" s="105">
        <f t="shared" si="1"/>
        <v>100</v>
      </c>
      <c r="H60" s="58">
        <v>2079</v>
      </c>
      <c r="I60" s="102">
        <f>1039.5-103.95</f>
        <v>935.55</v>
      </c>
      <c r="J60" s="102">
        <f>I60*100/H60</f>
        <v>45</v>
      </c>
    </row>
    <row r="61" spans="1:10" ht="16.5" customHeight="1" x14ac:dyDescent="0.2">
      <c r="A61" s="113"/>
      <c r="B61" s="1531" t="s">
        <v>973</v>
      </c>
      <c r="C61" s="9"/>
      <c r="D61" s="9"/>
      <c r="E61" s="13"/>
      <c r="F61" s="13"/>
      <c r="G61" s="9"/>
      <c r="H61" s="20">
        <f>+H62+H66+H70+H73+H77+H80+H85+H87</f>
        <v>110534</v>
      </c>
      <c r="I61" s="1532">
        <f>+I62+I66+I70+I73+I77+I80+I85+I87</f>
        <v>45702</v>
      </c>
      <c r="J61" s="1528">
        <f t="shared" ref="J61:J66" si="4">+I61/H61*100</f>
        <v>41.346554001483703</v>
      </c>
    </row>
    <row r="62" spans="1:10" ht="25.5" x14ac:dyDescent="0.2">
      <c r="A62" s="30">
        <v>1</v>
      </c>
      <c r="B62" s="115" t="s">
        <v>987</v>
      </c>
      <c r="C62" s="116"/>
      <c r="D62" s="116"/>
      <c r="E62" s="117"/>
      <c r="F62" s="117"/>
      <c r="G62" s="117"/>
      <c r="H62" s="126">
        <f>SUM(H63:H65)</f>
        <v>10500</v>
      </c>
      <c r="I62" s="118">
        <f>SUM(I63:I65)</f>
        <v>3000</v>
      </c>
      <c r="J62" s="119">
        <f t="shared" si="4"/>
        <v>28.571428571428569</v>
      </c>
    </row>
    <row r="63" spans="1:10" ht="25.5" x14ac:dyDescent="0.2">
      <c r="A63" s="64">
        <v>1</v>
      </c>
      <c r="B63" s="120" t="s">
        <v>974</v>
      </c>
      <c r="C63" s="47" t="s">
        <v>32</v>
      </c>
      <c r="D63" s="43" t="s">
        <v>975</v>
      </c>
      <c r="E63" s="25">
        <v>1</v>
      </c>
      <c r="F63" s="25">
        <v>0.16</v>
      </c>
      <c r="G63" s="97">
        <f>+F63/E63*100</f>
        <v>16</v>
      </c>
      <c r="H63" s="8">
        <v>6000</v>
      </c>
      <c r="I63" s="80">
        <v>1000</v>
      </c>
      <c r="J63" s="80">
        <f t="shared" si="4"/>
        <v>16.666666666666664</v>
      </c>
    </row>
    <row r="64" spans="1:10" ht="25.5" x14ac:dyDescent="0.2">
      <c r="A64" s="64">
        <v>2</v>
      </c>
      <c r="B64" s="69" t="s">
        <v>417</v>
      </c>
      <c r="C64" s="114" t="s">
        <v>73</v>
      </c>
      <c r="D64" s="39" t="s">
        <v>75</v>
      </c>
      <c r="E64" s="25">
        <v>8</v>
      </c>
      <c r="F64" s="25">
        <v>3</v>
      </c>
      <c r="G64" s="97">
        <f>+F64/E64*100</f>
        <v>37.5</v>
      </c>
      <c r="H64" s="8">
        <v>2500</v>
      </c>
      <c r="I64" s="80">
        <v>1000</v>
      </c>
      <c r="J64" s="80">
        <f t="shared" si="4"/>
        <v>40</v>
      </c>
    </row>
    <row r="65" spans="1:10" ht="38.25" x14ac:dyDescent="0.2">
      <c r="A65" s="64">
        <v>3</v>
      </c>
      <c r="B65" s="69" t="s">
        <v>552</v>
      </c>
      <c r="C65" s="114" t="s">
        <v>73</v>
      </c>
      <c r="D65" s="39" t="s">
        <v>418</v>
      </c>
      <c r="E65" s="25">
        <v>3</v>
      </c>
      <c r="F65" s="25">
        <v>1</v>
      </c>
      <c r="G65" s="97">
        <f>+F65/E65*100</f>
        <v>33.333333333333329</v>
      </c>
      <c r="H65" s="8">
        <v>2000</v>
      </c>
      <c r="I65" s="80">
        <v>1000</v>
      </c>
      <c r="J65" s="80">
        <f t="shared" si="4"/>
        <v>50</v>
      </c>
    </row>
    <row r="66" spans="1:10" ht="25.5" x14ac:dyDescent="0.2">
      <c r="A66" s="1616">
        <v>2</v>
      </c>
      <c r="B66" s="121" t="s">
        <v>985</v>
      </c>
      <c r="C66" s="114"/>
      <c r="D66" s="114"/>
      <c r="E66" s="132"/>
      <c r="F66" s="132"/>
      <c r="G66" s="122"/>
      <c r="H66" s="126">
        <f>SUM(H67:H69)</f>
        <v>2370</v>
      </c>
      <c r="I66" s="118">
        <f>SUM(I67:I69)</f>
        <v>100</v>
      </c>
      <c r="J66" s="119">
        <f t="shared" si="4"/>
        <v>4.2194092827004219</v>
      </c>
    </row>
    <row r="67" spans="1:10" ht="21" customHeight="1" x14ac:dyDescent="0.2">
      <c r="A67" s="64">
        <v>1</v>
      </c>
      <c r="B67" s="69" t="s">
        <v>431</v>
      </c>
      <c r="C67" s="114" t="s">
        <v>73</v>
      </c>
      <c r="D67" s="39" t="s">
        <v>89</v>
      </c>
      <c r="E67" s="18">
        <v>1</v>
      </c>
      <c r="F67" s="12">
        <v>0</v>
      </c>
      <c r="G67" s="97">
        <f t="shared" ref="G67:G69" si="5">+F67/E67*100</f>
        <v>0</v>
      </c>
      <c r="H67" s="18">
        <v>0</v>
      </c>
      <c r="I67" s="12">
        <v>0</v>
      </c>
      <c r="J67" s="80">
        <v>0</v>
      </c>
    </row>
    <row r="68" spans="1:10" ht="17.25" customHeight="1" x14ac:dyDescent="0.2">
      <c r="A68" s="64">
        <v>2</v>
      </c>
      <c r="B68" s="69" t="s">
        <v>989</v>
      </c>
      <c r="C68" s="114" t="s">
        <v>73</v>
      </c>
      <c r="D68" s="39" t="s">
        <v>421</v>
      </c>
      <c r="E68" s="18">
        <v>1</v>
      </c>
      <c r="F68" s="12">
        <v>0</v>
      </c>
      <c r="G68" s="97">
        <f t="shared" si="5"/>
        <v>0</v>
      </c>
      <c r="H68" s="18">
        <v>500</v>
      </c>
      <c r="I68" s="12">
        <v>0</v>
      </c>
      <c r="J68" s="80">
        <f t="shared" ref="J68:J69" si="6">+I68/H68*100</f>
        <v>0</v>
      </c>
    </row>
    <row r="69" spans="1:10" ht="25.5" customHeight="1" x14ac:dyDescent="0.2">
      <c r="A69" s="64">
        <v>3</v>
      </c>
      <c r="B69" s="69" t="s">
        <v>976</v>
      </c>
      <c r="C69" s="114" t="s">
        <v>73</v>
      </c>
      <c r="D69" s="39" t="s">
        <v>419</v>
      </c>
      <c r="E69" s="18">
        <v>4</v>
      </c>
      <c r="F69" s="12">
        <v>1</v>
      </c>
      <c r="G69" s="97">
        <f t="shared" si="5"/>
        <v>25</v>
      </c>
      <c r="H69" s="18">
        <v>1870</v>
      </c>
      <c r="I69" s="125">
        <v>100</v>
      </c>
      <c r="J69" s="80">
        <f t="shared" si="6"/>
        <v>5.3475935828877006</v>
      </c>
    </row>
    <row r="70" spans="1:10" ht="25.5" x14ac:dyDescent="0.2">
      <c r="A70" s="30">
        <v>3</v>
      </c>
      <c r="B70" s="59" t="s">
        <v>977</v>
      </c>
      <c r="C70" s="116"/>
      <c r="D70" s="116"/>
      <c r="E70" s="117"/>
      <c r="F70" s="117"/>
      <c r="G70" s="123"/>
      <c r="H70" s="126">
        <f>SUM(H71:H72)</f>
        <v>10003</v>
      </c>
      <c r="I70" s="118">
        <f>SUM(I71:I72)</f>
        <v>9000</v>
      </c>
      <c r="J70" s="119">
        <f>+I70/H70*100</f>
        <v>89.973008097570727</v>
      </c>
    </row>
    <row r="71" spans="1:10" ht="25.5" x14ac:dyDescent="0.2">
      <c r="A71" s="64">
        <v>1</v>
      </c>
      <c r="B71" s="67" t="s">
        <v>978</v>
      </c>
      <c r="C71" s="47" t="s">
        <v>32</v>
      </c>
      <c r="D71" s="43" t="s">
        <v>979</v>
      </c>
      <c r="E71" s="25">
        <v>2</v>
      </c>
      <c r="F71" s="25">
        <v>2</v>
      </c>
      <c r="G71" s="97">
        <f t="shared" ref="G71:G72" si="7">+F71/E71*100</f>
        <v>100</v>
      </c>
      <c r="H71" s="8">
        <v>2000</v>
      </c>
      <c r="I71" s="80">
        <v>1000</v>
      </c>
      <c r="J71" s="80">
        <f t="shared" ref="J71:J72" si="8">+I71/H71*100</f>
        <v>50</v>
      </c>
    </row>
    <row r="72" spans="1:10" ht="18" customHeight="1" x14ac:dyDescent="0.2">
      <c r="A72" s="64">
        <v>2</v>
      </c>
      <c r="B72" s="69" t="s">
        <v>420</v>
      </c>
      <c r="C72" s="114" t="s">
        <v>73</v>
      </c>
      <c r="D72" s="39" t="s">
        <v>418</v>
      </c>
      <c r="E72" s="25">
        <v>1</v>
      </c>
      <c r="F72" s="25">
        <v>1</v>
      </c>
      <c r="G72" s="97">
        <f t="shared" si="7"/>
        <v>100</v>
      </c>
      <c r="H72" s="127">
        <v>8003</v>
      </c>
      <c r="I72" s="80">
        <v>8000</v>
      </c>
      <c r="J72" s="80">
        <f t="shared" si="8"/>
        <v>99.962514057228532</v>
      </c>
    </row>
    <row r="73" spans="1:10" ht="38.25" customHeight="1" x14ac:dyDescent="0.2">
      <c r="A73" s="30">
        <v>4</v>
      </c>
      <c r="B73" s="59" t="s">
        <v>429</v>
      </c>
      <c r="C73" s="116"/>
      <c r="D73" s="116"/>
      <c r="E73" s="117"/>
      <c r="F73" s="117"/>
      <c r="G73" s="123"/>
      <c r="H73" s="126">
        <f>SUM(H74:H76)</f>
        <v>7100</v>
      </c>
      <c r="I73" s="118">
        <f>SUM(I74:I76)</f>
        <v>4300</v>
      </c>
      <c r="J73" s="119">
        <f>+I73/H73*100</f>
        <v>60.563380281690137</v>
      </c>
    </row>
    <row r="74" spans="1:10" ht="42" customHeight="1" x14ac:dyDescent="0.2">
      <c r="A74" s="64">
        <v>1</v>
      </c>
      <c r="B74" s="67" t="s">
        <v>980</v>
      </c>
      <c r="C74" s="47" t="s">
        <v>32</v>
      </c>
      <c r="D74" s="43" t="s">
        <v>979</v>
      </c>
      <c r="E74" s="25">
        <v>13</v>
      </c>
      <c r="F74" s="25">
        <v>6</v>
      </c>
      <c r="G74" s="97">
        <f t="shared" ref="G74:G76" si="9">+F74/E74*100</f>
        <v>46.153846153846153</v>
      </c>
      <c r="H74" s="8">
        <v>1000</v>
      </c>
      <c r="I74" s="80">
        <v>300</v>
      </c>
      <c r="J74" s="80">
        <f t="shared" ref="J74:J76" si="10">+I74/H74*100</f>
        <v>30</v>
      </c>
    </row>
    <row r="75" spans="1:10" ht="38.25" x14ac:dyDescent="0.2">
      <c r="A75" s="64">
        <v>2</v>
      </c>
      <c r="B75" s="69" t="s">
        <v>981</v>
      </c>
      <c r="C75" s="114" t="s">
        <v>73</v>
      </c>
      <c r="D75" s="39" t="s">
        <v>986</v>
      </c>
      <c r="E75" s="14">
        <v>3</v>
      </c>
      <c r="F75" s="14">
        <v>1</v>
      </c>
      <c r="G75" s="97">
        <f t="shared" si="9"/>
        <v>33.333333333333329</v>
      </c>
      <c r="H75" s="8">
        <v>1100</v>
      </c>
      <c r="I75" s="80">
        <v>1000</v>
      </c>
      <c r="J75" s="80">
        <f t="shared" si="10"/>
        <v>90.909090909090907</v>
      </c>
    </row>
    <row r="76" spans="1:10" ht="25.5" x14ac:dyDescent="0.2">
      <c r="A76" s="1618">
        <v>3</v>
      </c>
      <c r="B76" s="69" t="s">
        <v>422</v>
      </c>
      <c r="C76" s="114" t="s">
        <v>73</v>
      </c>
      <c r="D76" s="39" t="s">
        <v>418</v>
      </c>
      <c r="E76" s="14">
        <v>1</v>
      </c>
      <c r="F76" s="14">
        <v>1</v>
      </c>
      <c r="G76" s="97">
        <f t="shared" si="9"/>
        <v>100</v>
      </c>
      <c r="H76" s="8">
        <v>5000</v>
      </c>
      <c r="I76" s="80">
        <v>3000</v>
      </c>
      <c r="J76" s="80">
        <f t="shared" si="10"/>
        <v>60</v>
      </c>
    </row>
    <row r="77" spans="1:10" ht="38.25" x14ac:dyDescent="0.2">
      <c r="A77" s="22">
        <v>5</v>
      </c>
      <c r="B77" s="59" t="s">
        <v>992</v>
      </c>
      <c r="C77" s="116"/>
      <c r="D77" s="116"/>
      <c r="E77" s="117"/>
      <c r="F77" s="117"/>
      <c r="G77" s="123"/>
      <c r="H77" s="126">
        <f>SUM(H78:H79)</f>
        <v>1500</v>
      </c>
      <c r="I77" s="118">
        <f>SUM(I78:I79)</f>
        <v>500</v>
      </c>
      <c r="J77" s="118">
        <f>+I77/H77*100</f>
        <v>33.333333333333329</v>
      </c>
    </row>
    <row r="78" spans="1:10" ht="25.5" x14ac:dyDescent="0.2">
      <c r="A78" s="1618">
        <v>1</v>
      </c>
      <c r="B78" s="67" t="s">
        <v>990</v>
      </c>
      <c r="C78" s="47" t="s">
        <v>32</v>
      </c>
      <c r="D78" s="43" t="s">
        <v>979</v>
      </c>
      <c r="E78" s="25">
        <v>5</v>
      </c>
      <c r="F78" s="25">
        <v>1</v>
      </c>
      <c r="G78" s="97">
        <f t="shared" ref="G78:G79" si="11">+F78/E78*100</f>
        <v>20</v>
      </c>
      <c r="H78" s="8">
        <v>500</v>
      </c>
      <c r="I78" s="80">
        <v>0</v>
      </c>
      <c r="J78" s="80">
        <f t="shared" ref="J78:J79" si="12">+I78/H78*100</f>
        <v>0</v>
      </c>
    </row>
    <row r="79" spans="1:10" ht="25.5" x14ac:dyDescent="0.2">
      <c r="A79" s="1618">
        <v>2</v>
      </c>
      <c r="B79" s="69" t="s">
        <v>991</v>
      </c>
      <c r="C79" s="114" t="s">
        <v>73</v>
      </c>
      <c r="D79" s="39" t="s">
        <v>75</v>
      </c>
      <c r="E79" s="25">
        <v>13</v>
      </c>
      <c r="F79" s="25">
        <v>13</v>
      </c>
      <c r="G79" s="97">
        <f t="shared" si="11"/>
        <v>100</v>
      </c>
      <c r="H79" s="8">
        <v>1000</v>
      </c>
      <c r="I79" s="80">
        <v>500</v>
      </c>
      <c r="J79" s="80">
        <f t="shared" si="12"/>
        <v>50</v>
      </c>
    </row>
    <row r="80" spans="1:10" ht="25.5" x14ac:dyDescent="0.2">
      <c r="A80" s="30">
        <v>6</v>
      </c>
      <c r="B80" s="59" t="s">
        <v>982</v>
      </c>
      <c r="C80" s="116"/>
      <c r="D80" s="116"/>
      <c r="E80" s="117"/>
      <c r="F80" s="117"/>
      <c r="G80" s="123"/>
      <c r="H80" s="126">
        <f>SUM(H81:H84)</f>
        <v>3000</v>
      </c>
      <c r="I80" s="118">
        <f>SUM(I81:I84)</f>
        <v>400</v>
      </c>
      <c r="J80" s="118">
        <f>+I80/H80*100</f>
        <v>13.333333333333334</v>
      </c>
    </row>
    <row r="81" spans="1:10" ht="21" customHeight="1" x14ac:dyDescent="0.2">
      <c r="A81" s="1618">
        <v>1</v>
      </c>
      <c r="B81" s="69" t="s">
        <v>423</v>
      </c>
      <c r="C81" s="114" t="s">
        <v>73</v>
      </c>
      <c r="D81" s="39" t="s">
        <v>75</v>
      </c>
      <c r="E81" s="18">
        <v>1</v>
      </c>
      <c r="F81" s="12">
        <v>0</v>
      </c>
      <c r="G81" s="80">
        <f t="shared" ref="G81:G89" si="13">+F81/E81*100</f>
        <v>0</v>
      </c>
      <c r="H81" s="8">
        <v>1000</v>
      </c>
      <c r="I81" s="12">
        <v>0</v>
      </c>
      <c r="J81" s="80">
        <f t="shared" ref="J81:J89" si="14">+I81/H81*100</f>
        <v>0</v>
      </c>
    </row>
    <row r="82" spans="1:10" ht="25.5" x14ac:dyDescent="0.2">
      <c r="A82" s="1618">
        <v>2</v>
      </c>
      <c r="B82" s="69" t="s">
        <v>424</v>
      </c>
      <c r="C82" s="114" t="s">
        <v>73</v>
      </c>
      <c r="D82" s="39" t="s">
        <v>75</v>
      </c>
      <c r="E82" s="18">
        <v>3</v>
      </c>
      <c r="F82" s="12">
        <v>1</v>
      </c>
      <c r="G82" s="80">
        <f t="shared" si="13"/>
        <v>33.333333333333329</v>
      </c>
      <c r="H82" s="8">
        <v>1000</v>
      </c>
      <c r="I82" s="80">
        <v>200</v>
      </c>
      <c r="J82" s="80">
        <f t="shared" si="14"/>
        <v>20</v>
      </c>
    </row>
    <row r="83" spans="1:10" ht="25.5" x14ac:dyDescent="0.2">
      <c r="A83" s="1618">
        <v>3</v>
      </c>
      <c r="B83" s="69" t="s">
        <v>425</v>
      </c>
      <c r="C83" s="114" t="s">
        <v>73</v>
      </c>
      <c r="D83" s="39" t="s">
        <v>426</v>
      </c>
      <c r="E83" s="18">
        <v>3</v>
      </c>
      <c r="F83" s="12">
        <v>0</v>
      </c>
      <c r="G83" s="80">
        <f t="shared" si="13"/>
        <v>0</v>
      </c>
      <c r="H83" s="8">
        <v>0</v>
      </c>
      <c r="I83" s="12">
        <v>0</v>
      </c>
      <c r="J83" s="80">
        <v>0</v>
      </c>
    </row>
    <row r="84" spans="1:10" ht="25.5" x14ac:dyDescent="0.2">
      <c r="A84" s="1618">
        <v>4</v>
      </c>
      <c r="B84" s="69" t="s">
        <v>427</v>
      </c>
      <c r="C84" s="114" t="s">
        <v>73</v>
      </c>
      <c r="D84" s="39" t="s">
        <v>418</v>
      </c>
      <c r="E84" s="18">
        <v>3</v>
      </c>
      <c r="F84" s="12">
        <v>2</v>
      </c>
      <c r="G84" s="80">
        <f t="shared" si="13"/>
        <v>66.666666666666657</v>
      </c>
      <c r="H84" s="8">
        <v>1000</v>
      </c>
      <c r="I84" s="80">
        <v>200</v>
      </c>
      <c r="J84" s="80">
        <f t="shared" si="14"/>
        <v>20</v>
      </c>
    </row>
    <row r="85" spans="1:10" ht="25.5" x14ac:dyDescent="0.2">
      <c r="A85" s="30">
        <v>7</v>
      </c>
      <c r="B85" s="59" t="s">
        <v>983</v>
      </c>
      <c r="C85" s="116"/>
      <c r="D85" s="116"/>
      <c r="E85" s="117"/>
      <c r="F85" s="117"/>
      <c r="G85" s="118"/>
      <c r="H85" s="126">
        <f>+H86</f>
        <v>15000</v>
      </c>
      <c r="I85" s="118">
        <f>+I86</f>
        <v>8114.67</v>
      </c>
      <c r="J85" s="118">
        <f>+I85/H85*100</f>
        <v>54.097799999999992</v>
      </c>
    </row>
    <row r="86" spans="1:10" ht="19.5" customHeight="1" x14ac:dyDescent="0.2">
      <c r="A86" s="64">
        <v>1</v>
      </c>
      <c r="B86" s="67" t="s">
        <v>984</v>
      </c>
      <c r="C86" s="47" t="s">
        <v>32</v>
      </c>
      <c r="D86" s="47" t="s">
        <v>114</v>
      </c>
      <c r="E86" s="25">
        <v>3</v>
      </c>
      <c r="F86" s="25">
        <v>2</v>
      </c>
      <c r="G86" s="80">
        <f t="shared" si="13"/>
        <v>66.666666666666657</v>
      </c>
      <c r="H86" s="8">
        <v>15000</v>
      </c>
      <c r="I86" s="80">
        <v>8114.67</v>
      </c>
      <c r="J86" s="80">
        <f t="shared" si="14"/>
        <v>54.097799999999992</v>
      </c>
    </row>
    <row r="87" spans="1:10" ht="17.25" customHeight="1" x14ac:dyDescent="0.2">
      <c r="A87" s="30">
        <v>8</v>
      </c>
      <c r="B87" s="59" t="s">
        <v>110</v>
      </c>
      <c r="C87" s="116"/>
      <c r="D87" s="116"/>
      <c r="E87" s="117"/>
      <c r="F87" s="117"/>
      <c r="G87" s="118"/>
      <c r="H87" s="126">
        <f>SUM(H88:H89)</f>
        <v>61061</v>
      </c>
      <c r="I87" s="118">
        <f>SUM(I88:I89)</f>
        <v>20287.330000000002</v>
      </c>
      <c r="J87" s="118">
        <f>+I87/H87*100</f>
        <v>33.224693339447441</v>
      </c>
    </row>
    <row r="88" spans="1:10" ht="18.75" customHeight="1" x14ac:dyDescent="0.2">
      <c r="A88" s="64">
        <v>1</v>
      </c>
      <c r="B88" s="69" t="s">
        <v>430</v>
      </c>
      <c r="C88" s="41" t="s">
        <v>206</v>
      </c>
      <c r="D88" s="39" t="s">
        <v>428</v>
      </c>
      <c r="E88" s="25">
        <v>2</v>
      </c>
      <c r="F88" s="25">
        <v>2</v>
      </c>
      <c r="G88" s="80">
        <f t="shared" si="13"/>
        <v>100</v>
      </c>
      <c r="H88" s="8">
        <v>58700</v>
      </c>
      <c r="I88" s="80">
        <v>19559.68</v>
      </c>
      <c r="J88" s="80">
        <f t="shared" si="14"/>
        <v>33.321431005110739</v>
      </c>
    </row>
    <row r="89" spans="1:10" ht="42" customHeight="1" x14ac:dyDescent="0.2">
      <c r="A89" s="64">
        <v>2</v>
      </c>
      <c r="B89" s="69" t="s">
        <v>90</v>
      </c>
      <c r="C89" s="41" t="s">
        <v>37</v>
      </c>
      <c r="D89" s="39" t="s">
        <v>38</v>
      </c>
      <c r="E89" s="25">
        <v>2</v>
      </c>
      <c r="F89" s="25">
        <v>2</v>
      </c>
      <c r="G89" s="80">
        <f t="shared" si="13"/>
        <v>100</v>
      </c>
      <c r="H89" s="8">
        <v>2361</v>
      </c>
      <c r="I89" s="80">
        <v>727.65</v>
      </c>
      <c r="J89" s="80">
        <f t="shared" si="14"/>
        <v>30.819567979669632</v>
      </c>
    </row>
    <row r="90" spans="1:10" ht="21.75" customHeight="1" x14ac:dyDescent="0.2">
      <c r="A90" s="1533" t="s">
        <v>1005</v>
      </c>
      <c r="B90" s="68"/>
      <c r="C90" s="1534"/>
      <c r="D90" s="1535"/>
      <c r="E90" s="1536"/>
      <c r="F90" s="1536"/>
      <c r="G90" s="1537"/>
      <c r="H90" s="1538">
        <f>+H91</f>
        <v>295055820</v>
      </c>
      <c r="I90" s="1539">
        <f>+I91</f>
        <v>122370385.39999999</v>
      </c>
      <c r="J90" s="1524">
        <f>+I90/H90*100</f>
        <v>41.473638920255837</v>
      </c>
    </row>
    <row r="91" spans="1:10" ht="27" customHeight="1" x14ac:dyDescent="0.2">
      <c r="A91" s="129"/>
      <c r="B91" s="133" t="s">
        <v>2767</v>
      </c>
      <c r="C91" s="1990"/>
      <c r="D91" s="134"/>
      <c r="E91" s="135"/>
      <c r="F91" s="135"/>
      <c r="G91" s="130"/>
      <c r="H91" s="136">
        <v>295055820</v>
      </c>
      <c r="I91" s="135">
        <v>122370385.39999999</v>
      </c>
      <c r="J91" s="1525">
        <f>+I91/H91*100</f>
        <v>41.473638920255837</v>
      </c>
    </row>
    <row r="92" spans="1:10" ht="18.75" customHeight="1" x14ac:dyDescent="0.2">
      <c r="A92" s="2351" t="s">
        <v>305</v>
      </c>
      <c r="B92" s="1540" t="s">
        <v>1006</v>
      </c>
      <c r="C92" s="1541"/>
      <c r="D92" s="1541"/>
      <c r="E92" s="1542"/>
      <c r="F92" s="1542"/>
      <c r="G92" s="130"/>
      <c r="H92" s="1543">
        <v>87342297</v>
      </c>
      <c r="I92" s="1544">
        <v>40454018.18</v>
      </c>
      <c r="J92" s="1525">
        <f>+I92/H92*100</f>
        <v>46.316641042769916</v>
      </c>
    </row>
    <row r="93" spans="1:10" ht="18.75" customHeight="1" x14ac:dyDescent="0.2">
      <c r="A93" s="2351"/>
      <c r="B93" s="1178" t="s">
        <v>2511</v>
      </c>
      <c r="C93" s="128" t="s">
        <v>32</v>
      </c>
      <c r="D93" s="128" t="s">
        <v>75</v>
      </c>
      <c r="E93" s="1545">
        <v>11</v>
      </c>
      <c r="F93" s="1545">
        <v>4</v>
      </c>
      <c r="G93" s="1546">
        <f>+F93/E93*100</f>
        <v>36.363636363636367</v>
      </c>
      <c r="H93" s="1545">
        <v>819271</v>
      </c>
      <c r="I93" s="1547">
        <v>357977.46</v>
      </c>
      <c r="J93" s="1546">
        <f>+I93/H93*100</f>
        <v>43.694633399693146</v>
      </c>
    </row>
    <row r="94" spans="1:10" ht="18.75" customHeight="1" x14ac:dyDescent="0.2">
      <c r="A94" s="2351"/>
      <c r="B94" s="1212" t="s">
        <v>2708</v>
      </c>
      <c r="C94" s="128" t="s">
        <v>32</v>
      </c>
      <c r="D94" s="128" t="s">
        <v>1007</v>
      </c>
      <c r="E94" s="1545">
        <v>10</v>
      </c>
      <c r="F94" s="1548">
        <v>2.5</v>
      </c>
      <c r="G94" s="1546">
        <f t="shared" ref="G94:G157" si="15">+F94/E94*100</f>
        <v>25</v>
      </c>
      <c r="H94" s="1549">
        <v>2124100</v>
      </c>
      <c r="I94" s="1547">
        <v>515179.85</v>
      </c>
      <c r="J94" s="1546">
        <f t="shared" ref="J94:J157" si="16">+I94/H94*100</f>
        <v>24.254029942093119</v>
      </c>
    </row>
    <row r="95" spans="1:10" ht="25.5" x14ac:dyDescent="0.2">
      <c r="A95" s="2351"/>
      <c r="B95" s="1550" t="s">
        <v>2512</v>
      </c>
      <c r="C95" s="128" t="s">
        <v>32</v>
      </c>
      <c r="D95" s="128" t="s">
        <v>1008</v>
      </c>
      <c r="E95" s="1545">
        <v>126</v>
      </c>
      <c r="F95" s="1545">
        <v>30</v>
      </c>
      <c r="G95" s="1546">
        <f t="shared" si="15"/>
        <v>23.809523809523807</v>
      </c>
      <c r="H95" s="1545">
        <v>2381690</v>
      </c>
      <c r="I95" s="1547">
        <v>1010520</v>
      </c>
      <c r="J95" s="1546">
        <f t="shared" si="16"/>
        <v>42.428695590106187</v>
      </c>
    </row>
    <row r="96" spans="1:10" ht="25.5" x14ac:dyDescent="0.2">
      <c r="A96" s="2351"/>
      <c r="B96" s="1550" t="s">
        <v>2513</v>
      </c>
      <c r="C96" s="128" t="s">
        <v>32</v>
      </c>
      <c r="D96" s="128" t="s">
        <v>91</v>
      </c>
      <c r="E96" s="1545">
        <v>3751</v>
      </c>
      <c r="F96" s="1545">
        <v>719</v>
      </c>
      <c r="G96" s="1546">
        <f t="shared" si="15"/>
        <v>19.168221807517995</v>
      </c>
      <c r="H96" s="1545">
        <v>3621264</v>
      </c>
      <c r="I96" s="1547">
        <v>1477671.93</v>
      </c>
      <c r="J96" s="1546">
        <f t="shared" si="16"/>
        <v>40.805418494757632</v>
      </c>
    </row>
    <row r="97" spans="1:10" ht="25.5" x14ac:dyDescent="0.2">
      <c r="A97" s="2351"/>
      <c r="B97" s="1550" t="s">
        <v>2514</v>
      </c>
      <c r="C97" s="128" t="s">
        <v>32</v>
      </c>
      <c r="D97" s="128" t="s">
        <v>781</v>
      </c>
      <c r="E97" s="1545">
        <v>3068</v>
      </c>
      <c r="F97" s="1545">
        <v>389</v>
      </c>
      <c r="G97" s="1546">
        <f t="shared" si="15"/>
        <v>12.679269882659714</v>
      </c>
      <c r="H97" s="1545">
        <v>3240211</v>
      </c>
      <c r="I97" s="1547">
        <v>1472951.33</v>
      </c>
      <c r="J97" s="1546">
        <f t="shared" si="16"/>
        <v>45.458500387783388</v>
      </c>
    </row>
    <row r="98" spans="1:10" ht="38.25" x14ac:dyDescent="0.2">
      <c r="A98" s="2351"/>
      <c r="B98" s="1550" t="s">
        <v>2515</v>
      </c>
      <c r="C98" s="128" t="s">
        <v>32</v>
      </c>
      <c r="D98" s="128" t="s">
        <v>49</v>
      </c>
      <c r="E98" s="1545">
        <v>82932</v>
      </c>
      <c r="F98" s="1545">
        <v>15176</v>
      </c>
      <c r="G98" s="1546">
        <f t="shared" si="15"/>
        <v>18.299329571214969</v>
      </c>
      <c r="H98" s="1545">
        <v>4074002</v>
      </c>
      <c r="I98" s="1547">
        <v>1608383.5899999999</v>
      </c>
      <c r="J98" s="1546">
        <f t="shared" si="16"/>
        <v>39.479204723021731</v>
      </c>
    </row>
    <row r="99" spans="1:10" ht="18.75" customHeight="1" x14ac:dyDescent="0.2">
      <c r="A99" s="2351"/>
      <c r="B99" s="1550" t="s">
        <v>2516</v>
      </c>
      <c r="C99" s="128" t="s">
        <v>32</v>
      </c>
      <c r="D99" s="128" t="s">
        <v>1009</v>
      </c>
      <c r="E99" s="1545">
        <v>122753</v>
      </c>
      <c r="F99" s="1545">
        <v>42779</v>
      </c>
      <c r="G99" s="1546">
        <f t="shared" si="15"/>
        <v>34.849657442180636</v>
      </c>
      <c r="H99" s="1545">
        <v>11736390</v>
      </c>
      <c r="I99" s="1547">
        <v>4936477</v>
      </c>
      <c r="J99" s="1546">
        <f t="shared" si="16"/>
        <v>42.061289715150913</v>
      </c>
    </row>
    <row r="100" spans="1:10" ht="18.75" customHeight="1" x14ac:dyDescent="0.2">
      <c r="A100" s="2351"/>
      <c r="B100" s="1550" t="s">
        <v>2517</v>
      </c>
      <c r="C100" s="128" t="s">
        <v>32</v>
      </c>
      <c r="D100" s="128" t="s">
        <v>1010</v>
      </c>
      <c r="E100" s="1545">
        <v>86454</v>
      </c>
      <c r="F100" s="1545">
        <v>31585</v>
      </c>
      <c r="G100" s="1546">
        <f t="shared" si="15"/>
        <v>36.533879288407704</v>
      </c>
      <c r="H100" s="1545">
        <v>19582624</v>
      </c>
      <c r="I100" s="1547">
        <v>9229730</v>
      </c>
      <c r="J100" s="1546">
        <f t="shared" si="16"/>
        <v>47.132243360236089</v>
      </c>
    </row>
    <row r="101" spans="1:10" ht="25.5" x14ac:dyDescent="0.2">
      <c r="A101" s="2351"/>
      <c r="B101" s="1550" t="s">
        <v>2518</v>
      </c>
      <c r="C101" s="128" t="s">
        <v>32</v>
      </c>
      <c r="D101" s="128" t="s">
        <v>1011</v>
      </c>
      <c r="E101" s="1545">
        <v>77513</v>
      </c>
      <c r="F101" s="1545">
        <v>21784</v>
      </c>
      <c r="G101" s="1546">
        <f t="shared" si="15"/>
        <v>28.103672932282326</v>
      </c>
      <c r="H101" s="1545">
        <v>2126154</v>
      </c>
      <c r="I101" s="1547">
        <v>1335332</v>
      </c>
      <c r="J101" s="1546">
        <f t="shared" si="16"/>
        <v>62.805046106726039</v>
      </c>
    </row>
    <row r="102" spans="1:10" ht="18.75" customHeight="1" x14ac:dyDescent="0.2">
      <c r="A102" s="2351"/>
      <c r="B102" s="1550" t="s">
        <v>2519</v>
      </c>
      <c r="C102" s="128" t="s">
        <v>32</v>
      </c>
      <c r="D102" s="128" t="s">
        <v>1012</v>
      </c>
      <c r="E102" s="1545">
        <v>17</v>
      </c>
      <c r="F102" s="1545">
        <v>8</v>
      </c>
      <c r="G102" s="1546">
        <f t="shared" si="15"/>
        <v>47.058823529411761</v>
      </c>
      <c r="H102" s="1545">
        <v>492950</v>
      </c>
      <c r="I102" s="1547">
        <v>257996.58000000002</v>
      </c>
      <c r="J102" s="1546">
        <f t="shared" si="16"/>
        <v>52.337271528552598</v>
      </c>
    </row>
    <row r="103" spans="1:10" ht="25.5" x14ac:dyDescent="0.2">
      <c r="A103" s="2351"/>
      <c r="B103" s="1550" t="s">
        <v>2520</v>
      </c>
      <c r="C103" s="128" t="s">
        <v>32</v>
      </c>
      <c r="D103" s="128" t="s">
        <v>1013</v>
      </c>
      <c r="E103" s="1545">
        <v>1761</v>
      </c>
      <c r="F103" s="1545">
        <v>1171</v>
      </c>
      <c r="G103" s="1546">
        <f t="shared" si="15"/>
        <v>66.49630891538898</v>
      </c>
      <c r="H103" s="1545">
        <v>2790726</v>
      </c>
      <c r="I103" s="1547">
        <v>1347091</v>
      </c>
      <c r="J103" s="1546">
        <f t="shared" si="16"/>
        <v>48.2702708900838</v>
      </c>
    </row>
    <row r="104" spans="1:10" ht="25.5" x14ac:dyDescent="0.2">
      <c r="A104" s="2351"/>
      <c r="B104" s="1550" t="s">
        <v>2521</v>
      </c>
      <c r="C104" s="128" t="s">
        <v>32</v>
      </c>
      <c r="D104" s="128" t="s">
        <v>1013</v>
      </c>
      <c r="E104" s="1545">
        <v>2446</v>
      </c>
      <c r="F104" s="1545">
        <v>634</v>
      </c>
      <c r="G104" s="1546">
        <f t="shared" si="15"/>
        <v>25.919869174161896</v>
      </c>
      <c r="H104" s="1545">
        <v>900829</v>
      </c>
      <c r="I104" s="1547">
        <v>358255.64</v>
      </c>
      <c r="J104" s="1546">
        <f t="shared" si="16"/>
        <v>39.769550047789316</v>
      </c>
    </row>
    <row r="105" spans="1:10" ht="18.75" customHeight="1" x14ac:dyDescent="0.2">
      <c r="A105" s="2351"/>
      <c r="B105" s="1550" t="s">
        <v>2522</v>
      </c>
      <c r="C105" s="128" t="s">
        <v>32</v>
      </c>
      <c r="D105" s="128" t="s">
        <v>1014</v>
      </c>
      <c r="E105" s="1545">
        <v>135881</v>
      </c>
      <c r="F105" s="1545">
        <v>30644</v>
      </c>
      <c r="G105" s="1546">
        <f t="shared" si="15"/>
        <v>22.552086016440857</v>
      </c>
      <c r="H105" s="1545">
        <v>6525716</v>
      </c>
      <c r="I105" s="1547">
        <v>3574364.57</v>
      </c>
      <c r="J105" s="1546">
        <f t="shared" si="16"/>
        <v>54.773523242507025</v>
      </c>
    </row>
    <row r="106" spans="1:10" ht="18.75" customHeight="1" x14ac:dyDescent="0.2">
      <c r="A106" s="2351"/>
      <c r="B106" s="1550" t="s">
        <v>2523</v>
      </c>
      <c r="C106" s="128" t="s">
        <v>32</v>
      </c>
      <c r="D106" s="128" t="s">
        <v>1014</v>
      </c>
      <c r="E106" s="1545">
        <v>24564</v>
      </c>
      <c r="F106" s="1545">
        <v>6624</v>
      </c>
      <c r="G106" s="1546">
        <f t="shared" si="15"/>
        <v>26.966292134831459</v>
      </c>
      <c r="H106" s="1545">
        <v>4022134</v>
      </c>
      <c r="I106" s="1547">
        <v>1708899</v>
      </c>
      <c r="J106" s="1546">
        <f t="shared" si="16"/>
        <v>42.487371131841947</v>
      </c>
    </row>
    <row r="107" spans="1:10" ht="18.75" customHeight="1" x14ac:dyDescent="0.2">
      <c r="A107" s="2351"/>
      <c r="B107" s="1550" t="s">
        <v>2524</v>
      </c>
      <c r="C107" s="128" t="s">
        <v>32</v>
      </c>
      <c r="D107" s="128" t="s">
        <v>1014</v>
      </c>
      <c r="E107" s="1545">
        <v>4010</v>
      </c>
      <c r="F107" s="1545">
        <v>1196</v>
      </c>
      <c r="G107" s="1546">
        <f t="shared" si="15"/>
        <v>29.825436408977556</v>
      </c>
      <c r="H107" s="1545">
        <v>5079703</v>
      </c>
      <c r="I107" s="1547">
        <v>2619794</v>
      </c>
      <c r="J107" s="1546">
        <f t="shared" si="16"/>
        <v>51.573763269230497</v>
      </c>
    </row>
    <row r="108" spans="1:10" ht="18.75" customHeight="1" x14ac:dyDescent="0.2">
      <c r="A108" s="2351"/>
      <c r="B108" s="1550" t="s">
        <v>2525</v>
      </c>
      <c r="C108" s="128" t="s">
        <v>32</v>
      </c>
      <c r="D108" s="128" t="s">
        <v>1014</v>
      </c>
      <c r="E108" s="1545">
        <v>622</v>
      </c>
      <c r="F108" s="1545">
        <v>89</v>
      </c>
      <c r="G108" s="1546">
        <f t="shared" si="15"/>
        <v>14.308681672025724</v>
      </c>
      <c r="H108" s="1545">
        <v>3184036</v>
      </c>
      <c r="I108" s="1547">
        <v>1596844</v>
      </c>
      <c r="J108" s="1546">
        <f t="shared" si="16"/>
        <v>50.151568638043045</v>
      </c>
    </row>
    <row r="109" spans="1:10" ht="18.75" customHeight="1" x14ac:dyDescent="0.2">
      <c r="A109" s="2351"/>
      <c r="B109" s="1550" t="s">
        <v>2526</v>
      </c>
      <c r="C109" s="128" t="s">
        <v>32</v>
      </c>
      <c r="D109" s="128" t="s">
        <v>1014</v>
      </c>
      <c r="E109" s="1545">
        <v>37004</v>
      </c>
      <c r="F109" s="1545">
        <v>5773</v>
      </c>
      <c r="G109" s="1546">
        <f t="shared" si="15"/>
        <v>15.601016106366879</v>
      </c>
      <c r="H109" s="1545">
        <v>5641045</v>
      </c>
      <c r="I109" s="1547">
        <v>3139389</v>
      </c>
      <c r="J109" s="1546">
        <f t="shared" si="16"/>
        <v>55.652614010347378</v>
      </c>
    </row>
    <row r="110" spans="1:10" ht="25.5" x14ac:dyDescent="0.2">
      <c r="A110" s="2351"/>
      <c r="B110" s="1550" t="s">
        <v>2527</v>
      </c>
      <c r="C110" s="128" t="s">
        <v>32</v>
      </c>
      <c r="D110" s="128" t="s">
        <v>1015</v>
      </c>
      <c r="E110" s="1545">
        <v>26965</v>
      </c>
      <c r="F110" s="1545">
        <v>6773</v>
      </c>
      <c r="G110" s="1546">
        <f t="shared" si="15"/>
        <v>25.117745225292044</v>
      </c>
      <c r="H110" s="1545">
        <v>2077011</v>
      </c>
      <c r="I110" s="1547">
        <v>1271396</v>
      </c>
      <c r="J110" s="1546">
        <f t="shared" si="16"/>
        <v>61.212771622297623</v>
      </c>
    </row>
    <row r="111" spans="1:10" ht="18.75" customHeight="1" x14ac:dyDescent="0.2">
      <c r="A111" s="2351"/>
      <c r="B111" s="1550" t="s">
        <v>2528</v>
      </c>
      <c r="C111" s="128" t="s">
        <v>32</v>
      </c>
      <c r="D111" s="128" t="s">
        <v>1014</v>
      </c>
      <c r="E111" s="1545">
        <v>30049</v>
      </c>
      <c r="F111" s="1545">
        <v>4924</v>
      </c>
      <c r="G111" s="1546">
        <f t="shared" si="15"/>
        <v>16.386568604612467</v>
      </c>
      <c r="H111" s="1545">
        <v>3376759</v>
      </c>
      <c r="I111" s="1547">
        <v>1646710</v>
      </c>
      <c r="J111" s="1546">
        <f t="shared" si="16"/>
        <v>48.765991295203477</v>
      </c>
    </row>
    <row r="112" spans="1:10" ht="26.25" customHeight="1" x14ac:dyDescent="0.2">
      <c r="A112" s="2351"/>
      <c r="B112" s="1550" t="s">
        <v>2529</v>
      </c>
      <c r="C112" s="128" t="s">
        <v>32</v>
      </c>
      <c r="D112" s="128" t="s">
        <v>75</v>
      </c>
      <c r="E112" s="1545">
        <v>103</v>
      </c>
      <c r="F112" s="1545">
        <v>27</v>
      </c>
      <c r="G112" s="1546">
        <f t="shared" si="15"/>
        <v>26.21359223300971</v>
      </c>
      <c r="H112" s="1545">
        <v>3545682</v>
      </c>
      <c r="I112" s="1547">
        <v>989055.2300000001</v>
      </c>
      <c r="J112" s="1546">
        <f t="shared" si="16"/>
        <v>27.894640015658485</v>
      </c>
    </row>
    <row r="113" spans="1:10" ht="18.75" customHeight="1" x14ac:dyDescent="0.2">
      <c r="A113" s="2351" t="s">
        <v>306</v>
      </c>
      <c r="B113" s="1551" t="s">
        <v>1044</v>
      </c>
      <c r="C113" s="1552"/>
      <c r="D113" s="1552"/>
      <c r="E113" s="1553"/>
      <c r="F113" s="1553"/>
      <c r="G113" s="1554"/>
      <c r="H113" s="1555">
        <v>77948893</v>
      </c>
      <c r="I113" s="1553">
        <v>30950323.059999999</v>
      </c>
      <c r="J113" s="1554">
        <f t="shared" si="16"/>
        <v>39.705917388717758</v>
      </c>
    </row>
    <row r="114" spans="1:10" ht="18" customHeight="1" x14ac:dyDescent="0.2">
      <c r="A114" s="2351"/>
      <c r="B114" s="1550" t="s">
        <v>2530</v>
      </c>
      <c r="C114" s="128" t="s">
        <v>32</v>
      </c>
      <c r="D114" s="128" t="s">
        <v>1016</v>
      </c>
      <c r="E114" s="1545">
        <v>24211</v>
      </c>
      <c r="F114" s="1545">
        <v>6826</v>
      </c>
      <c r="G114" s="1546">
        <f t="shared" si="15"/>
        <v>28.193796208335055</v>
      </c>
      <c r="H114" s="1545">
        <v>14200187</v>
      </c>
      <c r="I114" s="1547">
        <v>4271187.99</v>
      </c>
      <c r="J114" s="1546">
        <f t="shared" si="16"/>
        <v>30.078392559196583</v>
      </c>
    </row>
    <row r="115" spans="1:10" ht="25.5" x14ac:dyDescent="0.2">
      <c r="A115" s="2351"/>
      <c r="B115" s="1550" t="s">
        <v>2531</v>
      </c>
      <c r="C115" s="128" t="s">
        <v>32</v>
      </c>
      <c r="D115" s="128" t="s">
        <v>1007</v>
      </c>
      <c r="E115" s="1545">
        <v>8</v>
      </c>
      <c r="F115" s="1545">
        <v>5</v>
      </c>
      <c r="G115" s="1546">
        <f t="shared" si="15"/>
        <v>62.5</v>
      </c>
      <c r="H115" s="1545">
        <v>700689</v>
      </c>
      <c r="I115" s="1547">
        <v>353027.43</v>
      </c>
      <c r="J115" s="1546">
        <f t="shared" si="16"/>
        <v>50.382898832434933</v>
      </c>
    </row>
    <row r="116" spans="1:10" ht="25.5" x14ac:dyDescent="0.2">
      <c r="A116" s="2351"/>
      <c r="B116" s="1550" t="s">
        <v>2532</v>
      </c>
      <c r="C116" s="128" t="s">
        <v>32</v>
      </c>
      <c r="D116" s="128" t="s">
        <v>1008</v>
      </c>
      <c r="E116" s="1545">
        <v>103</v>
      </c>
      <c r="F116" s="1545">
        <v>36</v>
      </c>
      <c r="G116" s="1546">
        <f t="shared" si="15"/>
        <v>34.95145631067961</v>
      </c>
      <c r="H116" s="1545">
        <v>516124</v>
      </c>
      <c r="I116" s="1547">
        <v>189829.55</v>
      </c>
      <c r="J116" s="1546">
        <f t="shared" si="16"/>
        <v>36.77983391588068</v>
      </c>
    </row>
    <row r="117" spans="1:10" ht="25.5" x14ac:dyDescent="0.2">
      <c r="A117" s="2351"/>
      <c r="B117" s="1550" t="s">
        <v>2533</v>
      </c>
      <c r="C117" s="128" t="s">
        <v>32</v>
      </c>
      <c r="D117" s="128" t="s">
        <v>91</v>
      </c>
      <c r="E117" s="1545">
        <v>2511</v>
      </c>
      <c r="F117" s="1545">
        <v>726</v>
      </c>
      <c r="G117" s="1546">
        <f t="shared" si="15"/>
        <v>28.912783751493432</v>
      </c>
      <c r="H117" s="1545">
        <v>775817</v>
      </c>
      <c r="I117" s="1547">
        <v>413873.70000000007</v>
      </c>
      <c r="J117" s="1546">
        <f t="shared" si="16"/>
        <v>53.346820190843978</v>
      </c>
    </row>
    <row r="118" spans="1:10" ht="25.5" x14ac:dyDescent="0.2">
      <c r="A118" s="2351"/>
      <c r="B118" s="1550" t="s">
        <v>2534</v>
      </c>
      <c r="C118" s="128" t="s">
        <v>32</v>
      </c>
      <c r="D118" s="128" t="s">
        <v>781</v>
      </c>
      <c r="E118" s="1545">
        <v>2682</v>
      </c>
      <c r="F118" s="1545">
        <v>184</v>
      </c>
      <c r="G118" s="1546">
        <f t="shared" si="15"/>
        <v>6.8605518269947803</v>
      </c>
      <c r="H118" s="1545">
        <v>828177</v>
      </c>
      <c r="I118" s="1547">
        <v>402337.33999999997</v>
      </c>
      <c r="J118" s="1546">
        <f t="shared" si="16"/>
        <v>48.581081097398261</v>
      </c>
    </row>
    <row r="119" spans="1:10" ht="25.5" x14ac:dyDescent="0.2">
      <c r="A119" s="2351"/>
      <c r="B119" s="1550" t="s">
        <v>2535</v>
      </c>
      <c r="C119" s="128" t="s">
        <v>32</v>
      </c>
      <c r="D119" s="128" t="s">
        <v>1017</v>
      </c>
      <c r="E119" s="1545">
        <v>84826</v>
      </c>
      <c r="F119" s="1545">
        <v>31047</v>
      </c>
      <c r="G119" s="1546">
        <f t="shared" si="15"/>
        <v>36.600806356541625</v>
      </c>
      <c r="H119" s="1545">
        <v>1270120</v>
      </c>
      <c r="I119" s="1547">
        <v>386186.22</v>
      </c>
      <c r="J119" s="1546">
        <f t="shared" si="16"/>
        <v>30.405490819765056</v>
      </c>
    </row>
    <row r="120" spans="1:10" ht="25.5" x14ac:dyDescent="0.2">
      <c r="A120" s="2351"/>
      <c r="B120" s="1550" t="s">
        <v>2536</v>
      </c>
      <c r="C120" s="128" t="s">
        <v>32</v>
      </c>
      <c r="D120" s="128" t="s">
        <v>1018</v>
      </c>
      <c r="E120" s="1545">
        <v>207699.77999999997</v>
      </c>
      <c r="F120" s="1545">
        <v>38832</v>
      </c>
      <c r="G120" s="1546">
        <f t="shared" si="15"/>
        <v>18.696216240575701</v>
      </c>
      <c r="H120" s="1545">
        <v>1079124</v>
      </c>
      <c r="I120" s="1547">
        <v>496245.19999999995</v>
      </c>
      <c r="J120" s="1546">
        <f t="shared" si="16"/>
        <v>45.985929327862223</v>
      </c>
    </row>
    <row r="121" spans="1:10" ht="25.5" x14ac:dyDescent="0.2">
      <c r="A121" s="2351"/>
      <c r="B121" s="1550" t="s">
        <v>2537</v>
      </c>
      <c r="C121" s="128" t="s">
        <v>32</v>
      </c>
      <c r="D121" s="128" t="s">
        <v>1019</v>
      </c>
      <c r="E121" s="1545">
        <v>238235.81</v>
      </c>
      <c r="F121" s="1545">
        <v>4678</v>
      </c>
      <c r="G121" s="1546">
        <f t="shared" si="15"/>
        <v>1.9636006862276498</v>
      </c>
      <c r="H121" s="1545">
        <v>6578816</v>
      </c>
      <c r="I121" s="1547">
        <v>2724753</v>
      </c>
      <c r="J121" s="1546">
        <f t="shared" si="16"/>
        <v>41.417072616105997</v>
      </c>
    </row>
    <row r="122" spans="1:10" ht="17.25" customHeight="1" x14ac:dyDescent="0.2">
      <c r="A122" s="2351"/>
      <c r="B122" s="1550" t="s">
        <v>2538</v>
      </c>
      <c r="C122" s="128" t="s">
        <v>32</v>
      </c>
      <c r="D122" s="128" t="s">
        <v>1020</v>
      </c>
      <c r="E122" s="1545">
        <v>19697</v>
      </c>
      <c r="F122" s="1545">
        <v>11422</v>
      </c>
      <c r="G122" s="1546">
        <f t="shared" si="15"/>
        <v>57.988526171498201</v>
      </c>
      <c r="H122" s="1545">
        <v>9201114</v>
      </c>
      <c r="I122" s="1547">
        <v>2940232</v>
      </c>
      <c r="J122" s="1546">
        <f t="shared" si="16"/>
        <v>31.955174123481132</v>
      </c>
    </row>
    <row r="123" spans="1:10" ht="25.5" x14ac:dyDescent="0.2">
      <c r="A123" s="2351"/>
      <c r="B123" s="1550" t="s">
        <v>2539</v>
      </c>
      <c r="C123" s="128" t="s">
        <v>32</v>
      </c>
      <c r="D123" s="128" t="s">
        <v>1021</v>
      </c>
      <c r="E123" s="1545">
        <v>2173</v>
      </c>
      <c r="F123" s="1545">
        <v>848</v>
      </c>
      <c r="G123" s="1546">
        <f t="shared" si="15"/>
        <v>39.024390243902438</v>
      </c>
      <c r="H123" s="1545">
        <v>3567658</v>
      </c>
      <c r="I123" s="1547">
        <v>1776495.9999999998</v>
      </c>
      <c r="J123" s="1546">
        <f t="shared" si="16"/>
        <v>49.794458998031757</v>
      </c>
    </row>
    <row r="124" spans="1:10" ht="18.75" customHeight="1" x14ac:dyDescent="0.2">
      <c r="A124" s="2351"/>
      <c r="B124" s="1550" t="s">
        <v>2540</v>
      </c>
      <c r="C124" s="128" t="s">
        <v>32</v>
      </c>
      <c r="D124" s="128" t="s">
        <v>2709</v>
      </c>
      <c r="E124" s="1545">
        <v>3149</v>
      </c>
      <c r="F124" s="1545">
        <v>1962</v>
      </c>
      <c r="G124" s="1546">
        <f t="shared" si="15"/>
        <v>62.305493807557951</v>
      </c>
      <c r="H124" s="1545">
        <v>7739004</v>
      </c>
      <c r="I124" s="1547">
        <v>4135163</v>
      </c>
      <c r="J124" s="1546">
        <f t="shared" si="16"/>
        <v>53.432754395785295</v>
      </c>
    </row>
    <row r="125" spans="1:10" ht="25.5" x14ac:dyDescent="0.2">
      <c r="A125" s="2351"/>
      <c r="B125" s="1550" t="s">
        <v>2541</v>
      </c>
      <c r="C125" s="128" t="s">
        <v>32</v>
      </c>
      <c r="D125" s="128" t="s">
        <v>2710</v>
      </c>
      <c r="E125" s="1545">
        <v>19985</v>
      </c>
      <c r="F125" s="1545">
        <v>8699</v>
      </c>
      <c r="G125" s="1546">
        <f t="shared" si="15"/>
        <v>43.527645734300727</v>
      </c>
      <c r="H125" s="1545">
        <v>2303357</v>
      </c>
      <c r="I125" s="1547">
        <v>975272</v>
      </c>
      <c r="J125" s="1546">
        <f t="shared" si="16"/>
        <v>42.341330501524517</v>
      </c>
    </row>
    <row r="126" spans="1:10" ht="18.75" customHeight="1" x14ac:dyDescent="0.2">
      <c r="A126" s="2351"/>
      <c r="B126" s="1550" t="s">
        <v>2542</v>
      </c>
      <c r="C126" s="128" t="s">
        <v>32</v>
      </c>
      <c r="D126" s="128" t="s">
        <v>1022</v>
      </c>
      <c r="E126" s="1545">
        <v>429</v>
      </c>
      <c r="F126" s="1545">
        <v>313</v>
      </c>
      <c r="G126" s="1546">
        <f t="shared" si="15"/>
        <v>72.960372960372965</v>
      </c>
      <c r="H126" s="1545">
        <v>6048894</v>
      </c>
      <c r="I126" s="1547">
        <v>3120891</v>
      </c>
      <c r="J126" s="1546">
        <f t="shared" si="16"/>
        <v>51.594407175923394</v>
      </c>
    </row>
    <row r="127" spans="1:10" ht="16.5" customHeight="1" x14ac:dyDescent="0.2">
      <c r="A127" s="2351"/>
      <c r="B127" s="1550" t="s">
        <v>2543</v>
      </c>
      <c r="C127" s="128" t="s">
        <v>32</v>
      </c>
      <c r="D127" s="128" t="s">
        <v>1022</v>
      </c>
      <c r="E127" s="1545">
        <v>178</v>
      </c>
      <c r="F127" s="1545">
        <v>75</v>
      </c>
      <c r="G127" s="1546">
        <f t="shared" si="15"/>
        <v>42.134831460674157</v>
      </c>
      <c r="H127" s="1545">
        <v>1348076</v>
      </c>
      <c r="I127" s="1547">
        <v>603316</v>
      </c>
      <c r="J127" s="1546">
        <f t="shared" si="16"/>
        <v>44.753856607490974</v>
      </c>
    </row>
    <row r="128" spans="1:10" ht="38.25" x14ac:dyDescent="0.2">
      <c r="A128" s="2351"/>
      <c r="B128" s="1550" t="s">
        <v>2544</v>
      </c>
      <c r="C128" s="128" t="s">
        <v>32</v>
      </c>
      <c r="D128" s="128" t="s">
        <v>1023</v>
      </c>
      <c r="E128" s="1545">
        <v>6324</v>
      </c>
      <c r="F128" s="1545">
        <v>4627</v>
      </c>
      <c r="G128" s="1546">
        <f t="shared" si="15"/>
        <v>73.165717900063257</v>
      </c>
      <c r="H128" s="1545">
        <v>4121208</v>
      </c>
      <c r="I128" s="1547">
        <v>1948592</v>
      </c>
      <c r="J128" s="1546">
        <f t="shared" si="16"/>
        <v>47.282059046764928</v>
      </c>
    </row>
    <row r="129" spans="1:10" ht="25.5" x14ac:dyDescent="0.2">
      <c r="A129" s="2351"/>
      <c r="B129" s="1550" t="s">
        <v>2545</v>
      </c>
      <c r="C129" s="128" t="s">
        <v>32</v>
      </c>
      <c r="D129" s="128" t="s">
        <v>1024</v>
      </c>
      <c r="E129" s="1545">
        <v>23081</v>
      </c>
      <c r="F129" s="1545">
        <v>13036</v>
      </c>
      <c r="G129" s="1546">
        <f t="shared" si="15"/>
        <v>56.479355313894544</v>
      </c>
      <c r="H129" s="1545">
        <v>3686731</v>
      </c>
      <c r="I129" s="1547">
        <v>1686226</v>
      </c>
      <c r="J129" s="1546">
        <f t="shared" si="16"/>
        <v>45.737700960552857</v>
      </c>
    </row>
    <row r="130" spans="1:10" ht="18.75" customHeight="1" x14ac:dyDescent="0.2">
      <c r="A130" s="2351"/>
      <c r="B130" s="1550" t="s">
        <v>2546</v>
      </c>
      <c r="C130" s="128" t="s">
        <v>32</v>
      </c>
      <c r="D130" s="128" t="s">
        <v>1022</v>
      </c>
      <c r="E130" s="1545">
        <v>3095</v>
      </c>
      <c r="F130" s="1545">
        <v>1518</v>
      </c>
      <c r="G130" s="1546">
        <f t="shared" si="15"/>
        <v>49.04684975767367</v>
      </c>
      <c r="H130" s="1545">
        <v>5432419</v>
      </c>
      <c r="I130" s="1547">
        <v>1860819</v>
      </c>
      <c r="J130" s="1546">
        <f t="shared" si="16"/>
        <v>34.253966787171606</v>
      </c>
    </row>
    <row r="131" spans="1:10" ht="25.5" x14ac:dyDescent="0.2">
      <c r="A131" s="2351"/>
      <c r="B131" s="1550" t="s">
        <v>2547</v>
      </c>
      <c r="C131" s="128" t="s">
        <v>32</v>
      </c>
      <c r="D131" s="128" t="s">
        <v>1022</v>
      </c>
      <c r="E131" s="1545">
        <v>1628</v>
      </c>
      <c r="F131" s="1545">
        <v>362</v>
      </c>
      <c r="G131" s="1546">
        <f t="shared" si="15"/>
        <v>22.235872235872236</v>
      </c>
      <c r="H131" s="1545">
        <v>2792766</v>
      </c>
      <c r="I131" s="1547">
        <v>794354</v>
      </c>
      <c r="J131" s="1546">
        <f t="shared" si="16"/>
        <v>28.443270936412148</v>
      </c>
    </row>
    <row r="132" spans="1:10" ht="25.5" x14ac:dyDescent="0.2">
      <c r="A132" s="2351"/>
      <c r="B132" s="1550" t="s">
        <v>2548</v>
      </c>
      <c r="C132" s="128" t="s">
        <v>32</v>
      </c>
      <c r="D132" s="128" t="s">
        <v>49</v>
      </c>
      <c r="E132" s="1545">
        <v>24557</v>
      </c>
      <c r="F132" s="1545">
        <v>9878</v>
      </c>
      <c r="G132" s="1546">
        <f t="shared" si="15"/>
        <v>40.224783157551819</v>
      </c>
      <c r="H132" s="1545">
        <v>950492</v>
      </c>
      <c r="I132" s="1547">
        <v>496299</v>
      </c>
      <c r="J132" s="1546">
        <f t="shared" si="16"/>
        <v>52.214958147990721</v>
      </c>
    </row>
    <row r="133" spans="1:10" ht="25.5" x14ac:dyDescent="0.2">
      <c r="A133" s="2351"/>
      <c r="B133" s="1550" t="s">
        <v>2549</v>
      </c>
      <c r="C133" s="128" t="s">
        <v>32</v>
      </c>
      <c r="D133" s="128" t="s">
        <v>75</v>
      </c>
      <c r="E133" s="1545">
        <v>124</v>
      </c>
      <c r="F133" s="1545">
        <v>62</v>
      </c>
      <c r="G133" s="1546">
        <f t="shared" si="15"/>
        <v>50</v>
      </c>
      <c r="H133" s="1545">
        <v>3299080</v>
      </c>
      <c r="I133" s="1547">
        <v>657801.1399999999</v>
      </c>
      <c r="J133" s="1546">
        <f t="shared" si="16"/>
        <v>19.938926609842742</v>
      </c>
    </row>
    <row r="134" spans="1:10" ht="25.5" x14ac:dyDescent="0.2">
      <c r="A134" s="2351"/>
      <c r="B134" s="1550" t="s">
        <v>2550</v>
      </c>
      <c r="C134" s="128" t="s">
        <v>32</v>
      </c>
      <c r="D134" s="128" t="s">
        <v>92</v>
      </c>
      <c r="E134" s="1545">
        <v>21677</v>
      </c>
      <c r="F134" s="1545">
        <v>7779</v>
      </c>
      <c r="G134" s="1546">
        <f t="shared" si="15"/>
        <v>35.88596207962356</v>
      </c>
      <c r="H134" s="1545">
        <v>676377</v>
      </c>
      <c r="I134" s="1547">
        <v>325549.99</v>
      </c>
      <c r="J134" s="1546">
        <f t="shared" si="16"/>
        <v>48.131440010526674</v>
      </c>
    </row>
    <row r="135" spans="1:10" ht="25.5" x14ac:dyDescent="0.2">
      <c r="A135" s="2351"/>
      <c r="B135" s="1550" t="s">
        <v>2551</v>
      </c>
      <c r="C135" s="128" t="s">
        <v>32</v>
      </c>
      <c r="D135" s="1556" t="s">
        <v>1025</v>
      </c>
      <c r="E135" s="1545">
        <v>107674</v>
      </c>
      <c r="F135" s="1545">
        <v>45058</v>
      </c>
      <c r="G135" s="1546">
        <f t="shared" si="15"/>
        <v>41.846685365083488</v>
      </c>
      <c r="H135" s="1545">
        <v>832663</v>
      </c>
      <c r="I135" s="1547">
        <v>391871.5</v>
      </c>
      <c r="J135" s="1546">
        <f t="shared" si="16"/>
        <v>47.06243702434238</v>
      </c>
    </row>
    <row r="136" spans="1:10" ht="18.75" customHeight="1" x14ac:dyDescent="0.2">
      <c r="A136" s="2351" t="s">
        <v>370</v>
      </c>
      <c r="B136" s="1551" t="s">
        <v>1026</v>
      </c>
      <c r="C136" s="1557"/>
      <c r="D136" s="1558"/>
      <c r="E136" s="1553"/>
      <c r="F136" s="1553"/>
      <c r="G136" s="1554"/>
      <c r="H136" s="1555">
        <v>19518948</v>
      </c>
      <c r="I136" s="1553">
        <v>7917212.9900000002</v>
      </c>
      <c r="J136" s="1554">
        <f t="shared" si="16"/>
        <v>40.561678785147642</v>
      </c>
    </row>
    <row r="137" spans="1:10" ht="25.5" x14ac:dyDescent="0.2">
      <c r="A137" s="2351"/>
      <c r="B137" s="1550" t="s">
        <v>2552</v>
      </c>
      <c r="C137" s="128" t="s">
        <v>32</v>
      </c>
      <c r="D137" s="128" t="s">
        <v>75</v>
      </c>
      <c r="E137" s="1545">
        <v>215</v>
      </c>
      <c r="F137" s="1545">
        <v>28</v>
      </c>
      <c r="G137" s="1546">
        <f t="shared" si="15"/>
        <v>13.023255813953488</v>
      </c>
      <c r="H137" s="1545">
        <v>625945</v>
      </c>
      <c r="I137" s="1547">
        <v>309415.65000000002</v>
      </c>
      <c r="J137" s="1546">
        <f t="shared" si="16"/>
        <v>49.431763174080793</v>
      </c>
    </row>
    <row r="138" spans="1:10" ht="25.5" x14ac:dyDescent="0.2">
      <c r="A138" s="2351"/>
      <c r="B138" s="1550" t="s">
        <v>2553</v>
      </c>
      <c r="C138" s="128" t="s">
        <v>32</v>
      </c>
      <c r="D138" s="128" t="s">
        <v>1007</v>
      </c>
      <c r="E138" s="1545">
        <v>4</v>
      </c>
      <c r="F138" s="1545">
        <v>1</v>
      </c>
      <c r="G138" s="1546">
        <f t="shared" si="15"/>
        <v>25</v>
      </c>
      <c r="H138" s="1545">
        <v>401716</v>
      </c>
      <c r="I138" s="1547">
        <v>193761.8</v>
      </c>
      <c r="J138" s="1546">
        <f t="shared" si="16"/>
        <v>48.233528164175681</v>
      </c>
    </row>
    <row r="139" spans="1:10" ht="25.5" x14ac:dyDescent="0.2">
      <c r="A139" s="2351"/>
      <c r="B139" s="1550" t="s">
        <v>2554</v>
      </c>
      <c r="C139" s="128" t="s">
        <v>32</v>
      </c>
      <c r="D139" s="128" t="s">
        <v>1027</v>
      </c>
      <c r="E139" s="1545">
        <v>2993</v>
      </c>
      <c r="F139" s="1545">
        <v>1612</v>
      </c>
      <c r="G139" s="1546">
        <f t="shared" si="15"/>
        <v>53.859004343468101</v>
      </c>
      <c r="H139" s="1545">
        <v>839556</v>
      </c>
      <c r="I139" s="1547">
        <v>497654.67</v>
      </c>
      <c r="J139" s="1546">
        <f t="shared" si="16"/>
        <v>59.275935137143918</v>
      </c>
    </row>
    <row r="140" spans="1:10" ht="25.5" x14ac:dyDescent="0.2">
      <c r="A140" s="2351"/>
      <c r="B140" s="1550" t="s">
        <v>2555</v>
      </c>
      <c r="C140" s="128" t="s">
        <v>32</v>
      </c>
      <c r="D140" s="128" t="s">
        <v>1028</v>
      </c>
      <c r="E140" s="1545">
        <v>48888</v>
      </c>
      <c r="F140" s="1545">
        <v>26311</v>
      </c>
      <c r="G140" s="1546">
        <f t="shared" si="15"/>
        <v>53.818933071510386</v>
      </c>
      <c r="H140" s="1545">
        <v>1652430</v>
      </c>
      <c r="I140" s="1547">
        <v>860662.7</v>
      </c>
      <c r="J140" s="1546">
        <f t="shared" si="16"/>
        <v>52.084669244688122</v>
      </c>
    </row>
    <row r="141" spans="1:10" ht="25.5" x14ac:dyDescent="0.2">
      <c r="A141" s="2351"/>
      <c r="B141" s="1550" t="s">
        <v>2556</v>
      </c>
      <c r="C141" s="128" t="s">
        <v>32</v>
      </c>
      <c r="D141" s="128" t="s">
        <v>1027</v>
      </c>
      <c r="E141" s="1545">
        <v>1061</v>
      </c>
      <c r="F141" s="1545">
        <v>126</v>
      </c>
      <c r="G141" s="1546">
        <f t="shared" si="15"/>
        <v>11.875589066918002</v>
      </c>
      <c r="H141" s="1545">
        <v>739681</v>
      </c>
      <c r="I141" s="1547">
        <v>321795.42</v>
      </c>
      <c r="J141" s="1546">
        <f t="shared" si="16"/>
        <v>43.504621586873263</v>
      </c>
    </row>
    <row r="142" spans="1:10" ht="25.5" x14ac:dyDescent="0.2">
      <c r="A142" s="2351"/>
      <c r="B142" s="1550" t="s">
        <v>2557</v>
      </c>
      <c r="C142" s="128" t="s">
        <v>32</v>
      </c>
      <c r="D142" s="128" t="s">
        <v>1029</v>
      </c>
      <c r="E142" s="1545">
        <v>368</v>
      </c>
      <c r="F142" s="1545">
        <v>144</v>
      </c>
      <c r="G142" s="1546">
        <f t="shared" si="15"/>
        <v>39.130434782608695</v>
      </c>
      <c r="H142" s="1545">
        <v>1322636</v>
      </c>
      <c r="I142" s="1547">
        <v>579994.29999999993</v>
      </c>
      <c r="J142" s="1546">
        <f t="shared" si="16"/>
        <v>43.851392219779285</v>
      </c>
    </row>
    <row r="143" spans="1:10" ht="25.5" x14ac:dyDescent="0.2">
      <c r="A143" s="2351"/>
      <c r="B143" s="1550" t="s">
        <v>2558</v>
      </c>
      <c r="C143" s="128" t="s">
        <v>32</v>
      </c>
      <c r="D143" s="128" t="s">
        <v>1027</v>
      </c>
      <c r="E143" s="1545">
        <v>22</v>
      </c>
      <c r="F143" s="1545">
        <v>8</v>
      </c>
      <c r="G143" s="1546">
        <f t="shared" si="15"/>
        <v>36.363636363636367</v>
      </c>
      <c r="H143" s="1545">
        <v>956722</v>
      </c>
      <c r="I143" s="1547">
        <v>477055.58</v>
      </c>
      <c r="J143" s="1546">
        <f t="shared" si="16"/>
        <v>49.863552839800903</v>
      </c>
    </row>
    <row r="144" spans="1:10" ht="25.5" x14ac:dyDescent="0.2">
      <c r="A144" s="2351"/>
      <c r="B144" s="1550" t="s">
        <v>2559</v>
      </c>
      <c r="C144" s="128" t="s">
        <v>32</v>
      </c>
      <c r="D144" s="128" t="s">
        <v>1030</v>
      </c>
      <c r="E144" s="1545">
        <v>107</v>
      </c>
      <c r="F144" s="1545">
        <v>26</v>
      </c>
      <c r="G144" s="1546">
        <f t="shared" si="15"/>
        <v>24.299065420560748</v>
      </c>
      <c r="H144" s="1545">
        <v>1054768</v>
      </c>
      <c r="I144" s="1547">
        <v>377378.73000000004</v>
      </c>
      <c r="J144" s="1546">
        <f t="shared" si="16"/>
        <v>35.778363583271393</v>
      </c>
    </row>
    <row r="145" spans="1:10" ht="25.5" x14ac:dyDescent="0.2">
      <c r="A145" s="2351"/>
      <c r="B145" s="1550" t="s">
        <v>2560</v>
      </c>
      <c r="C145" s="128" t="s">
        <v>32</v>
      </c>
      <c r="D145" s="128" t="s">
        <v>49</v>
      </c>
      <c r="E145" s="1545">
        <v>11631</v>
      </c>
      <c r="F145" s="1545">
        <v>1608</v>
      </c>
      <c r="G145" s="1546">
        <f t="shared" si="15"/>
        <v>13.825122517410367</v>
      </c>
      <c r="H145" s="1545">
        <v>310427</v>
      </c>
      <c r="I145" s="1547">
        <v>77112.290000000008</v>
      </c>
      <c r="J145" s="1546">
        <f t="shared" si="16"/>
        <v>24.84071617481727</v>
      </c>
    </row>
    <row r="146" spans="1:10" ht="25.5" x14ac:dyDescent="0.2">
      <c r="A146" s="2351"/>
      <c r="B146" s="1550" t="s">
        <v>2561</v>
      </c>
      <c r="C146" s="128" t="s">
        <v>32</v>
      </c>
      <c r="D146" s="128" t="s">
        <v>781</v>
      </c>
      <c r="E146" s="1545">
        <v>678</v>
      </c>
      <c r="F146" s="1545">
        <v>20</v>
      </c>
      <c r="G146" s="1546">
        <f t="shared" si="15"/>
        <v>2.9498525073746311</v>
      </c>
      <c r="H146" s="1545">
        <v>599854</v>
      </c>
      <c r="I146" s="1547">
        <v>196494.31</v>
      </c>
      <c r="J146" s="1546">
        <f t="shared" si="16"/>
        <v>32.757022542151923</v>
      </c>
    </row>
    <row r="147" spans="1:10" ht="25.5" x14ac:dyDescent="0.2">
      <c r="A147" s="2351"/>
      <c r="B147" s="1550" t="s">
        <v>2562</v>
      </c>
      <c r="C147" s="128" t="s">
        <v>32</v>
      </c>
      <c r="D147" s="128" t="s">
        <v>94</v>
      </c>
      <c r="E147" s="1545">
        <v>1105</v>
      </c>
      <c r="F147" s="1545">
        <v>264</v>
      </c>
      <c r="G147" s="1546">
        <f t="shared" si="15"/>
        <v>23.891402714932127</v>
      </c>
      <c r="H147" s="1545">
        <v>1180728</v>
      </c>
      <c r="I147" s="1547">
        <v>196550.88</v>
      </c>
      <c r="J147" s="1546">
        <f t="shared" si="16"/>
        <v>16.646584141309432</v>
      </c>
    </row>
    <row r="148" spans="1:10" ht="25.5" x14ac:dyDescent="0.2">
      <c r="A148" s="2351"/>
      <c r="B148" s="1550" t="s">
        <v>2563</v>
      </c>
      <c r="C148" s="128" t="s">
        <v>32</v>
      </c>
      <c r="D148" s="128" t="s">
        <v>1031</v>
      </c>
      <c r="E148" s="1545">
        <v>22</v>
      </c>
      <c r="F148" s="1545">
        <v>2</v>
      </c>
      <c r="G148" s="1546">
        <f t="shared" si="15"/>
        <v>9.0909090909090917</v>
      </c>
      <c r="H148" s="1545">
        <v>466777</v>
      </c>
      <c r="I148" s="1547">
        <v>148088.45000000001</v>
      </c>
      <c r="J148" s="1546">
        <f t="shared" si="16"/>
        <v>31.725738414703386</v>
      </c>
    </row>
    <row r="149" spans="1:10" ht="29.25" customHeight="1" x14ac:dyDescent="0.2">
      <c r="A149" s="2351"/>
      <c r="B149" s="1550" t="s">
        <v>2564</v>
      </c>
      <c r="C149" s="128" t="s">
        <v>32</v>
      </c>
      <c r="D149" s="128" t="s">
        <v>1025</v>
      </c>
      <c r="E149" s="1545">
        <v>73053</v>
      </c>
      <c r="F149" s="1545">
        <v>13633</v>
      </c>
      <c r="G149" s="1546">
        <f t="shared" si="15"/>
        <v>18.66179349239593</v>
      </c>
      <c r="H149" s="1545">
        <v>1004870</v>
      </c>
      <c r="I149" s="1547">
        <v>394156.54</v>
      </c>
      <c r="J149" s="1546">
        <f t="shared" si="16"/>
        <v>39.224630051648468</v>
      </c>
    </row>
    <row r="150" spans="1:10" ht="25.5" x14ac:dyDescent="0.2">
      <c r="A150" s="2351"/>
      <c r="B150" s="1550" t="s">
        <v>2565</v>
      </c>
      <c r="C150" s="128" t="s">
        <v>32</v>
      </c>
      <c r="D150" s="128" t="s">
        <v>1025</v>
      </c>
      <c r="E150" s="1545">
        <v>73566</v>
      </c>
      <c r="F150" s="1545">
        <v>43379</v>
      </c>
      <c r="G150" s="1546">
        <f t="shared" si="15"/>
        <v>58.966098469401629</v>
      </c>
      <c r="H150" s="1545">
        <v>1583762</v>
      </c>
      <c r="I150" s="1547">
        <v>778350.19</v>
      </c>
      <c r="J150" s="1546">
        <f t="shared" si="16"/>
        <v>49.145653829300109</v>
      </c>
    </row>
    <row r="151" spans="1:10" ht="25.5" x14ac:dyDescent="0.2">
      <c r="A151" s="2351"/>
      <c r="B151" s="1550" t="s">
        <v>2566</v>
      </c>
      <c r="C151" s="128" t="s">
        <v>32</v>
      </c>
      <c r="D151" s="128" t="s">
        <v>94</v>
      </c>
      <c r="E151" s="1545">
        <v>15221</v>
      </c>
      <c r="F151" s="1545">
        <v>2680</v>
      </c>
      <c r="G151" s="1546">
        <f t="shared" si="15"/>
        <v>17.607253137113197</v>
      </c>
      <c r="H151" s="1545">
        <v>937375</v>
      </c>
      <c r="I151" s="1547">
        <v>497004.87</v>
      </c>
      <c r="J151" s="1546">
        <f t="shared" si="16"/>
        <v>53.020922256300842</v>
      </c>
    </row>
    <row r="152" spans="1:10" ht="25.5" x14ac:dyDescent="0.2">
      <c r="A152" s="2351"/>
      <c r="B152" s="1550" t="s">
        <v>2567</v>
      </c>
      <c r="C152" s="128" t="s">
        <v>32</v>
      </c>
      <c r="D152" s="128" t="s">
        <v>1027</v>
      </c>
      <c r="E152" s="1545">
        <v>302</v>
      </c>
      <c r="F152" s="1545">
        <v>121</v>
      </c>
      <c r="G152" s="1546">
        <f t="shared" si="15"/>
        <v>40.066225165562912</v>
      </c>
      <c r="H152" s="1545">
        <v>1200682</v>
      </c>
      <c r="I152" s="1547">
        <v>129026.39</v>
      </c>
      <c r="J152" s="1546">
        <f t="shared" si="16"/>
        <v>10.746091804491115</v>
      </c>
    </row>
    <row r="153" spans="1:10" ht="25.5" x14ac:dyDescent="0.2">
      <c r="A153" s="2351"/>
      <c r="B153" s="1550" t="s">
        <v>2568</v>
      </c>
      <c r="C153" s="128" t="s">
        <v>32</v>
      </c>
      <c r="D153" s="128" t="s">
        <v>1028</v>
      </c>
      <c r="E153" s="1545">
        <v>59216</v>
      </c>
      <c r="F153" s="1545">
        <v>10347</v>
      </c>
      <c r="G153" s="1546">
        <f t="shared" si="15"/>
        <v>17.473318022156175</v>
      </c>
      <c r="H153" s="1545">
        <v>778485</v>
      </c>
      <c r="I153" s="1547">
        <v>375516.11000000004</v>
      </c>
      <c r="J153" s="1546">
        <f t="shared" si="16"/>
        <v>48.236781697784807</v>
      </c>
    </row>
    <row r="154" spans="1:10" ht="25.5" x14ac:dyDescent="0.2">
      <c r="A154" s="2351"/>
      <c r="B154" s="1550" t="s">
        <v>2569</v>
      </c>
      <c r="C154" s="128" t="s">
        <v>32</v>
      </c>
      <c r="D154" s="128" t="s">
        <v>1027</v>
      </c>
      <c r="E154" s="1545">
        <v>25</v>
      </c>
      <c r="F154" s="1545">
        <v>1</v>
      </c>
      <c r="G154" s="1546">
        <f t="shared" si="15"/>
        <v>4</v>
      </c>
      <c r="H154" s="1545">
        <v>516466</v>
      </c>
      <c r="I154" s="1547">
        <v>42258.99</v>
      </c>
      <c r="J154" s="1546">
        <f t="shared" si="16"/>
        <v>8.1823372690554645</v>
      </c>
    </row>
    <row r="155" spans="1:10" ht="25.5" x14ac:dyDescent="0.2">
      <c r="A155" s="2351"/>
      <c r="B155" s="1550" t="s">
        <v>2570</v>
      </c>
      <c r="C155" s="128" t="s">
        <v>32</v>
      </c>
      <c r="D155" s="128" t="s">
        <v>1028</v>
      </c>
      <c r="E155" s="1545">
        <v>204</v>
      </c>
      <c r="F155" s="1545">
        <v>78</v>
      </c>
      <c r="G155" s="1546">
        <f t="shared" si="15"/>
        <v>38.235294117647058</v>
      </c>
      <c r="H155" s="1545">
        <v>1062472</v>
      </c>
      <c r="I155" s="1547">
        <v>352993.02</v>
      </c>
      <c r="J155" s="1546">
        <f t="shared" si="16"/>
        <v>33.223748014065315</v>
      </c>
    </row>
    <row r="156" spans="1:10" ht="25.5" x14ac:dyDescent="0.2">
      <c r="A156" s="2351"/>
      <c r="B156" s="1550" t="s">
        <v>2571</v>
      </c>
      <c r="C156" s="128" t="s">
        <v>32</v>
      </c>
      <c r="D156" s="128" t="s">
        <v>1028</v>
      </c>
      <c r="E156" s="1545">
        <v>42</v>
      </c>
      <c r="F156" s="1545">
        <v>19</v>
      </c>
      <c r="G156" s="1546">
        <f t="shared" si="15"/>
        <v>45.238095238095241</v>
      </c>
      <c r="H156" s="1545">
        <v>464492</v>
      </c>
      <c r="I156" s="1547">
        <v>245884.97999999998</v>
      </c>
      <c r="J156" s="1546">
        <f t="shared" si="16"/>
        <v>52.936321831161784</v>
      </c>
    </row>
    <row r="157" spans="1:10" ht="25.5" x14ac:dyDescent="0.2">
      <c r="A157" s="2351"/>
      <c r="B157" s="1550" t="s">
        <v>2572</v>
      </c>
      <c r="C157" s="128" t="s">
        <v>32</v>
      </c>
      <c r="D157" s="128" t="s">
        <v>1019</v>
      </c>
      <c r="E157" s="1545">
        <v>152</v>
      </c>
      <c r="F157" s="1545">
        <v>5</v>
      </c>
      <c r="G157" s="1546">
        <f t="shared" si="15"/>
        <v>3.2894736842105261</v>
      </c>
      <c r="H157" s="1545">
        <v>671195</v>
      </c>
      <c r="I157" s="1547">
        <v>305064.97000000003</v>
      </c>
      <c r="J157" s="1546">
        <f t="shared" si="16"/>
        <v>45.451019450383278</v>
      </c>
    </row>
    <row r="158" spans="1:10" ht="29.25" customHeight="1" x14ac:dyDescent="0.2">
      <c r="A158" s="2351"/>
      <c r="B158" s="1550" t="s">
        <v>2573</v>
      </c>
      <c r="C158" s="128" t="s">
        <v>32</v>
      </c>
      <c r="D158" s="128" t="s">
        <v>1027</v>
      </c>
      <c r="E158" s="1545">
        <v>2</v>
      </c>
      <c r="F158" s="1547">
        <v>0.41</v>
      </c>
      <c r="G158" s="1546">
        <f t="shared" ref="G158:G221" si="17">+F158/E158*100</f>
        <v>20.5</v>
      </c>
      <c r="H158" s="1545">
        <v>178672</v>
      </c>
      <c r="I158" s="1547">
        <v>37356.93</v>
      </c>
      <c r="J158" s="1546">
        <f t="shared" ref="J158:J221" si="18">+I158/H158*100</f>
        <v>20.908105355064027</v>
      </c>
    </row>
    <row r="159" spans="1:10" ht="24" customHeight="1" x14ac:dyDescent="0.2">
      <c r="A159" s="2351"/>
      <c r="B159" s="1550" t="s">
        <v>2574</v>
      </c>
      <c r="C159" s="128" t="s">
        <v>32</v>
      </c>
      <c r="D159" s="128" t="s">
        <v>1027</v>
      </c>
      <c r="E159" s="1545">
        <v>20</v>
      </c>
      <c r="F159" s="1545">
        <v>8</v>
      </c>
      <c r="G159" s="1546">
        <f t="shared" si="17"/>
        <v>40</v>
      </c>
      <c r="H159" s="1545">
        <v>969237</v>
      </c>
      <c r="I159" s="1547">
        <v>523635.22000000003</v>
      </c>
      <c r="J159" s="1546">
        <f t="shared" si="18"/>
        <v>54.025508724904235</v>
      </c>
    </row>
    <row r="160" spans="1:10" ht="15.75" customHeight="1" x14ac:dyDescent="0.2">
      <c r="A160" s="2351" t="s">
        <v>369</v>
      </c>
      <c r="B160" s="1551" t="s">
        <v>2575</v>
      </c>
      <c r="C160" s="1559"/>
      <c r="D160" s="1559"/>
      <c r="E160" s="1553"/>
      <c r="F160" s="1553"/>
      <c r="G160" s="1554"/>
      <c r="H160" s="1555">
        <v>10861349.699999999</v>
      </c>
      <c r="I160" s="1553">
        <v>5174913.16</v>
      </c>
      <c r="J160" s="1554">
        <f t="shared" si="18"/>
        <v>47.645212638720217</v>
      </c>
    </row>
    <row r="161" spans="1:10" ht="25.5" x14ac:dyDescent="0.2">
      <c r="A161" s="2351"/>
      <c r="B161" s="1550" t="s">
        <v>2576</v>
      </c>
      <c r="C161" s="128" t="s">
        <v>32</v>
      </c>
      <c r="D161" s="128" t="s">
        <v>75</v>
      </c>
      <c r="E161" s="1545">
        <v>74</v>
      </c>
      <c r="F161" s="1545">
        <v>20</v>
      </c>
      <c r="G161" s="1546">
        <f t="shared" si="17"/>
        <v>27.027027027027028</v>
      </c>
      <c r="H161" s="1545">
        <v>647602</v>
      </c>
      <c r="I161" s="1547">
        <v>278317.05</v>
      </c>
      <c r="J161" s="1546">
        <f t="shared" si="18"/>
        <v>42.976558132927323</v>
      </c>
    </row>
    <row r="162" spans="1:10" ht="25.5" x14ac:dyDescent="0.2">
      <c r="A162" s="2351"/>
      <c r="B162" s="1550" t="s">
        <v>2577</v>
      </c>
      <c r="C162" s="128" t="s">
        <v>32</v>
      </c>
      <c r="D162" s="128" t="s">
        <v>1007</v>
      </c>
      <c r="E162" s="1545">
        <v>3</v>
      </c>
      <c r="F162" s="1545">
        <v>4</v>
      </c>
      <c r="G162" s="1546">
        <f t="shared" si="17"/>
        <v>133.33333333333331</v>
      </c>
      <c r="H162" s="1545">
        <v>102804</v>
      </c>
      <c r="I162" s="1547">
        <v>57700.82</v>
      </c>
      <c r="J162" s="1546">
        <f t="shared" si="18"/>
        <v>56.127018403953159</v>
      </c>
    </row>
    <row r="163" spans="1:10" ht="25.5" x14ac:dyDescent="0.2">
      <c r="A163" s="2351"/>
      <c r="B163" s="1550" t="s">
        <v>2578</v>
      </c>
      <c r="C163" s="128" t="s">
        <v>32</v>
      </c>
      <c r="D163" s="128" t="s">
        <v>49</v>
      </c>
      <c r="E163" s="1545">
        <v>35407</v>
      </c>
      <c r="F163" s="1545">
        <v>136</v>
      </c>
      <c r="G163" s="1546">
        <f t="shared" si="17"/>
        <v>0.38410483802637896</v>
      </c>
      <c r="H163" s="1545">
        <v>718826</v>
      </c>
      <c r="I163" s="1547">
        <v>331828.40000000002</v>
      </c>
      <c r="J163" s="1546">
        <f t="shared" si="18"/>
        <v>46.162548377493309</v>
      </c>
    </row>
    <row r="164" spans="1:10" ht="26.25" customHeight="1" x14ac:dyDescent="0.2">
      <c r="A164" s="2351"/>
      <c r="B164" s="1550" t="s">
        <v>2579</v>
      </c>
      <c r="C164" s="128" t="s">
        <v>32</v>
      </c>
      <c r="D164" s="128" t="s">
        <v>781</v>
      </c>
      <c r="E164" s="1545">
        <v>702</v>
      </c>
      <c r="F164" s="1545">
        <v>83</v>
      </c>
      <c r="G164" s="1546">
        <f t="shared" si="17"/>
        <v>11.823361823361823</v>
      </c>
      <c r="H164" s="1545">
        <v>380631</v>
      </c>
      <c r="I164" s="1547">
        <v>246606.3</v>
      </c>
      <c r="J164" s="1546">
        <f t="shared" si="18"/>
        <v>64.788811210857759</v>
      </c>
    </row>
    <row r="165" spans="1:10" ht="25.5" x14ac:dyDescent="0.2">
      <c r="A165" s="2351"/>
      <c r="B165" s="1550" t="s">
        <v>2580</v>
      </c>
      <c r="C165" s="128" t="s">
        <v>32</v>
      </c>
      <c r="D165" s="128" t="s">
        <v>1008</v>
      </c>
      <c r="E165" s="1545">
        <v>112</v>
      </c>
      <c r="F165" s="1545">
        <v>19</v>
      </c>
      <c r="G165" s="1546">
        <f t="shared" si="17"/>
        <v>16.964285714285715</v>
      </c>
      <c r="H165" s="1545">
        <v>608040</v>
      </c>
      <c r="I165" s="1547">
        <v>220177.77000000002</v>
      </c>
      <c r="J165" s="1546">
        <f t="shared" si="18"/>
        <v>36.211066706137757</v>
      </c>
    </row>
    <row r="166" spans="1:10" ht="38.25" x14ac:dyDescent="0.2">
      <c r="A166" s="2351"/>
      <c r="B166" s="1550" t="s">
        <v>2581</v>
      </c>
      <c r="C166" s="128" t="s">
        <v>32</v>
      </c>
      <c r="D166" s="128" t="s">
        <v>94</v>
      </c>
      <c r="E166" s="1545">
        <v>503222</v>
      </c>
      <c r="F166" s="1545">
        <v>23490</v>
      </c>
      <c r="G166" s="1546">
        <f t="shared" si="17"/>
        <v>4.6679199240096816</v>
      </c>
      <c r="H166" s="1545">
        <v>871913</v>
      </c>
      <c r="I166" s="1547">
        <v>338256</v>
      </c>
      <c r="J166" s="1546">
        <f t="shared" si="18"/>
        <v>38.794696259833259</v>
      </c>
    </row>
    <row r="167" spans="1:10" ht="38.25" x14ac:dyDescent="0.2">
      <c r="A167" s="2351"/>
      <c r="B167" s="1550" t="s">
        <v>2582</v>
      </c>
      <c r="C167" s="128" t="s">
        <v>32</v>
      </c>
      <c r="D167" s="128" t="s">
        <v>1031</v>
      </c>
      <c r="E167" s="1545">
        <v>76662</v>
      </c>
      <c r="F167" s="1545">
        <v>33762</v>
      </c>
      <c r="G167" s="1546">
        <f t="shared" si="17"/>
        <v>44.040072004382871</v>
      </c>
      <c r="H167" s="1545">
        <v>916988.7</v>
      </c>
      <c r="I167" s="1547">
        <v>1031210.69</v>
      </c>
      <c r="J167" s="1546">
        <f t="shared" si="18"/>
        <v>112.45620474930607</v>
      </c>
    </row>
    <row r="168" spans="1:10" ht="26.25" customHeight="1" x14ac:dyDescent="0.2">
      <c r="A168" s="2351"/>
      <c r="B168" s="1550" t="s">
        <v>2583</v>
      </c>
      <c r="C168" s="128" t="s">
        <v>32</v>
      </c>
      <c r="D168" s="128" t="s">
        <v>1032</v>
      </c>
      <c r="E168" s="1545">
        <v>97160</v>
      </c>
      <c r="F168" s="1545">
        <v>1566</v>
      </c>
      <c r="G168" s="1546">
        <f t="shared" si="17"/>
        <v>1.6117743927542199</v>
      </c>
      <c r="H168" s="1545">
        <v>1143334</v>
      </c>
      <c r="I168" s="1547">
        <v>370555.51</v>
      </c>
      <c r="J168" s="1546">
        <f t="shared" si="18"/>
        <v>32.410084017443722</v>
      </c>
    </row>
    <row r="169" spans="1:10" ht="17.25" customHeight="1" x14ac:dyDescent="0.2">
      <c r="A169" s="2351"/>
      <c r="B169" s="1550" t="s">
        <v>2584</v>
      </c>
      <c r="C169" s="128" t="s">
        <v>32</v>
      </c>
      <c r="D169" s="128" t="s">
        <v>1027</v>
      </c>
      <c r="E169" s="1545">
        <v>25625</v>
      </c>
      <c r="F169" s="1545">
        <v>45737</v>
      </c>
      <c r="G169" s="1546">
        <f t="shared" si="17"/>
        <v>178.48585365853657</v>
      </c>
      <c r="H169" s="1545">
        <v>3157891</v>
      </c>
      <c r="I169" s="1547">
        <v>1078896.69</v>
      </c>
      <c r="J169" s="1546">
        <f t="shared" si="18"/>
        <v>34.16510227870436</v>
      </c>
    </row>
    <row r="170" spans="1:10" ht="25.5" x14ac:dyDescent="0.2">
      <c r="A170" s="2351"/>
      <c r="B170" s="1550" t="s">
        <v>2585</v>
      </c>
      <c r="C170" s="128" t="s">
        <v>32</v>
      </c>
      <c r="D170" s="128" t="s">
        <v>1027</v>
      </c>
      <c r="E170" s="1545">
        <v>6695</v>
      </c>
      <c r="F170" s="1545">
        <v>1244</v>
      </c>
      <c r="G170" s="1546">
        <f t="shared" si="17"/>
        <v>18.581030619865572</v>
      </c>
      <c r="H170" s="1545">
        <v>976514</v>
      </c>
      <c r="I170" s="1547">
        <v>490350.06999999995</v>
      </c>
      <c r="J170" s="1546">
        <f t="shared" si="18"/>
        <v>50.214341013032069</v>
      </c>
    </row>
    <row r="171" spans="1:10" ht="18.75" customHeight="1" x14ac:dyDescent="0.2">
      <c r="A171" s="2351"/>
      <c r="B171" s="1550" t="s">
        <v>2586</v>
      </c>
      <c r="C171" s="128" t="s">
        <v>32</v>
      </c>
      <c r="D171" s="128" t="s">
        <v>91</v>
      </c>
      <c r="E171" s="1545">
        <v>1511</v>
      </c>
      <c r="F171" s="1545">
        <v>470</v>
      </c>
      <c r="G171" s="1546">
        <f t="shared" si="17"/>
        <v>31.105228325612178</v>
      </c>
      <c r="H171" s="1545">
        <v>1336806</v>
      </c>
      <c r="I171" s="1547">
        <v>731013.8600000001</v>
      </c>
      <c r="J171" s="1546">
        <f t="shared" si="18"/>
        <v>54.683616022070524</v>
      </c>
    </row>
    <row r="172" spans="1:10" ht="15" customHeight="1" x14ac:dyDescent="0.2">
      <c r="A172" s="2351" t="s">
        <v>447</v>
      </c>
      <c r="B172" s="1551" t="s">
        <v>2587</v>
      </c>
      <c r="C172" s="1557"/>
      <c r="D172" s="1552"/>
      <c r="E172" s="1553">
        <v>616052</v>
      </c>
      <c r="F172" s="1553">
        <v>139368</v>
      </c>
      <c r="G172" s="1554">
        <f t="shared" si="17"/>
        <v>22.6227656106952</v>
      </c>
      <c r="H172" s="1555">
        <v>16773460</v>
      </c>
      <c r="I172" s="1553">
        <v>7795264.5700000003</v>
      </c>
      <c r="J172" s="1554">
        <f t="shared" si="18"/>
        <v>46.473801887028678</v>
      </c>
    </row>
    <row r="173" spans="1:10" ht="25.5" x14ac:dyDescent="0.2">
      <c r="A173" s="2351"/>
      <c r="B173" s="1550" t="s">
        <v>2588</v>
      </c>
      <c r="C173" s="128" t="s">
        <v>32</v>
      </c>
      <c r="D173" s="128" t="s">
        <v>75</v>
      </c>
      <c r="E173" s="1545">
        <v>116</v>
      </c>
      <c r="F173" s="1545">
        <v>37</v>
      </c>
      <c r="G173" s="1546">
        <f t="shared" si="17"/>
        <v>31.896551724137932</v>
      </c>
      <c r="H173" s="1545">
        <v>932965</v>
      </c>
      <c r="I173" s="1547">
        <v>487027.45000000007</v>
      </c>
      <c r="J173" s="1546">
        <f t="shared" si="18"/>
        <v>52.202113691296034</v>
      </c>
    </row>
    <row r="174" spans="1:10" ht="25.5" x14ac:dyDescent="0.2">
      <c r="A174" s="2351"/>
      <c r="B174" s="1550" t="s">
        <v>2589</v>
      </c>
      <c r="C174" s="128" t="s">
        <v>32</v>
      </c>
      <c r="D174" s="128" t="s">
        <v>1007</v>
      </c>
      <c r="E174" s="1545">
        <v>2</v>
      </c>
      <c r="F174" s="1547">
        <v>1.65</v>
      </c>
      <c r="G174" s="1546">
        <f t="shared" si="17"/>
        <v>82.5</v>
      </c>
      <c r="H174" s="1545">
        <v>90892</v>
      </c>
      <c r="I174" s="1547">
        <v>75860</v>
      </c>
      <c r="J174" s="1546">
        <f t="shared" si="18"/>
        <v>83.461690797870006</v>
      </c>
    </row>
    <row r="175" spans="1:10" ht="16.5" customHeight="1" x14ac:dyDescent="0.2">
      <c r="A175" s="2351"/>
      <c r="B175" s="1550" t="s">
        <v>2590</v>
      </c>
      <c r="C175" s="128" t="s">
        <v>32</v>
      </c>
      <c r="D175" s="128" t="s">
        <v>1027</v>
      </c>
      <c r="E175" s="1545">
        <v>731</v>
      </c>
      <c r="F175" s="1545">
        <v>76</v>
      </c>
      <c r="G175" s="1546">
        <f t="shared" si="17"/>
        <v>10.39671682626539</v>
      </c>
      <c r="H175" s="1545">
        <v>679750</v>
      </c>
      <c r="I175" s="1547">
        <v>292473.28000000003</v>
      </c>
      <c r="J175" s="1546">
        <f t="shared" si="18"/>
        <v>43.026595071717551</v>
      </c>
    </row>
    <row r="176" spans="1:10" ht="25.5" x14ac:dyDescent="0.2">
      <c r="A176" s="2351"/>
      <c r="B176" s="1550" t="s">
        <v>2591</v>
      </c>
      <c r="C176" s="128" t="s">
        <v>32</v>
      </c>
      <c r="D176" s="128" t="s">
        <v>1027</v>
      </c>
      <c r="E176" s="1545">
        <v>136580</v>
      </c>
      <c r="F176" s="1545">
        <v>51721</v>
      </c>
      <c r="G176" s="1546">
        <f t="shared" si="17"/>
        <v>37.868648411187586</v>
      </c>
      <c r="H176" s="1545">
        <v>1972185</v>
      </c>
      <c r="I176" s="1547">
        <v>815777.65</v>
      </c>
      <c r="J176" s="1546">
        <f t="shared" si="18"/>
        <v>41.364154478408466</v>
      </c>
    </row>
    <row r="177" spans="1:10" ht="25.5" x14ac:dyDescent="0.2">
      <c r="A177" s="2351"/>
      <c r="B177" s="1550" t="s">
        <v>2592</v>
      </c>
      <c r="C177" s="128" t="s">
        <v>32</v>
      </c>
      <c r="D177" s="128" t="s">
        <v>1027</v>
      </c>
      <c r="E177" s="1545">
        <v>30649</v>
      </c>
      <c r="F177" s="1545">
        <v>4686</v>
      </c>
      <c r="G177" s="1546">
        <f t="shared" si="17"/>
        <v>15.289242715912426</v>
      </c>
      <c r="H177" s="1545">
        <v>469490</v>
      </c>
      <c r="I177" s="1547">
        <v>239897.33000000002</v>
      </c>
      <c r="J177" s="1546">
        <f t="shared" si="18"/>
        <v>51.097431255191808</v>
      </c>
    </row>
    <row r="178" spans="1:10" ht="25.5" x14ac:dyDescent="0.2">
      <c r="A178" s="2351"/>
      <c r="B178" s="1550" t="s">
        <v>2593</v>
      </c>
      <c r="C178" s="128" t="s">
        <v>32</v>
      </c>
      <c r="D178" s="128" t="s">
        <v>1033</v>
      </c>
      <c r="E178" s="1545">
        <v>222</v>
      </c>
      <c r="F178" s="1545">
        <v>1</v>
      </c>
      <c r="G178" s="1546">
        <f t="shared" si="17"/>
        <v>0.45045045045045046</v>
      </c>
      <c r="H178" s="1545">
        <v>246272</v>
      </c>
      <c r="I178" s="1547">
        <v>66190.399999999994</v>
      </c>
      <c r="J178" s="1546">
        <f t="shared" si="18"/>
        <v>26.876949064449065</v>
      </c>
    </row>
    <row r="179" spans="1:10" ht="25.5" x14ac:dyDescent="0.2">
      <c r="A179" s="2351"/>
      <c r="B179" s="1272" t="s">
        <v>2796</v>
      </c>
      <c r="C179" s="128" t="s">
        <v>32</v>
      </c>
      <c r="D179" s="128" t="s">
        <v>1027</v>
      </c>
      <c r="E179" s="1545">
        <v>1</v>
      </c>
      <c r="F179" s="1545">
        <v>1</v>
      </c>
      <c r="G179" s="1546">
        <f t="shared" si="17"/>
        <v>100</v>
      </c>
      <c r="H179" s="1545">
        <v>26060</v>
      </c>
      <c r="I179" s="1547">
        <v>23599.599999999999</v>
      </c>
      <c r="J179" s="1546">
        <f t="shared" si="18"/>
        <v>90.558710667689951</v>
      </c>
    </row>
    <row r="180" spans="1:10" ht="25.5" x14ac:dyDescent="0.2">
      <c r="A180" s="2351"/>
      <c r="B180" s="1550" t="s">
        <v>2594</v>
      </c>
      <c r="C180" s="128" t="s">
        <v>32</v>
      </c>
      <c r="D180" s="128" t="s">
        <v>1033</v>
      </c>
      <c r="E180" s="1545">
        <v>73969</v>
      </c>
      <c r="F180" s="1545">
        <v>7551</v>
      </c>
      <c r="G180" s="1546">
        <f t="shared" si="17"/>
        <v>10.208330516838135</v>
      </c>
      <c r="H180" s="1545">
        <v>944880</v>
      </c>
      <c r="I180" s="1547">
        <v>281256.42000000004</v>
      </c>
      <c r="J180" s="1546">
        <f t="shared" si="18"/>
        <v>29.766363982727974</v>
      </c>
    </row>
    <row r="181" spans="1:10" ht="25.5" x14ac:dyDescent="0.2">
      <c r="A181" s="2351"/>
      <c r="B181" s="1550" t="s">
        <v>2595</v>
      </c>
      <c r="C181" s="128" t="s">
        <v>32</v>
      </c>
      <c r="D181" s="128" t="s">
        <v>1027</v>
      </c>
      <c r="E181" s="1545">
        <v>524</v>
      </c>
      <c r="F181" s="1545">
        <v>147</v>
      </c>
      <c r="G181" s="1546">
        <f t="shared" si="17"/>
        <v>28.053435114503817</v>
      </c>
      <c r="H181" s="1545">
        <v>303687</v>
      </c>
      <c r="I181" s="1547">
        <v>54802.68</v>
      </c>
      <c r="J181" s="1546">
        <f t="shared" si="18"/>
        <v>18.045777395805551</v>
      </c>
    </row>
    <row r="182" spans="1:10" ht="25.5" x14ac:dyDescent="0.2">
      <c r="A182" s="2351"/>
      <c r="B182" s="1550" t="s">
        <v>2596</v>
      </c>
      <c r="C182" s="128" t="s">
        <v>32</v>
      </c>
      <c r="D182" s="128" t="s">
        <v>1033</v>
      </c>
      <c r="E182" s="1545">
        <v>120388</v>
      </c>
      <c r="F182" s="1545">
        <v>41023</v>
      </c>
      <c r="G182" s="1546">
        <f t="shared" si="17"/>
        <v>34.075655380934975</v>
      </c>
      <c r="H182" s="1545">
        <v>295812</v>
      </c>
      <c r="I182" s="1547">
        <v>207184.99000000002</v>
      </c>
      <c r="J182" s="1546">
        <f t="shared" si="18"/>
        <v>70.039413546441665</v>
      </c>
    </row>
    <row r="183" spans="1:10" ht="25.5" x14ac:dyDescent="0.2">
      <c r="A183" s="2351"/>
      <c r="B183" s="1550" t="s">
        <v>2597</v>
      </c>
      <c r="C183" s="128" t="s">
        <v>32</v>
      </c>
      <c r="D183" s="128" t="s">
        <v>1027</v>
      </c>
      <c r="E183" s="1545">
        <v>644</v>
      </c>
      <c r="F183" s="1545">
        <v>51</v>
      </c>
      <c r="G183" s="1546">
        <f t="shared" si="17"/>
        <v>7.9192546583850927</v>
      </c>
      <c r="H183" s="1545">
        <v>119423</v>
      </c>
      <c r="I183" s="1547">
        <v>22338.799999999999</v>
      </c>
      <c r="J183" s="1546">
        <f t="shared" si="18"/>
        <v>18.70560947221222</v>
      </c>
    </row>
    <row r="184" spans="1:10" ht="25.5" x14ac:dyDescent="0.2">
      <c r="A184" s="2351"/>
      <c r="B184" s="1550" t="s">
        <v>2598</v>
      </c>
      <c r="C184" s="128" t="s">
        <v>32</v>
      </c>
      <c r="D184" s="128" t="s">
        <v>1033</v>
      </c>
      <c r="E184" s="1545">
        <v>93765</v>
      </c>
      <c r="F184" s="1545">
        <v>24749</v>
      </c>
      <c r="G184" s="1546">
        <f t="shared" si="17"/>
        <v>26.394710179704578</v>
      </c>
      <c r="H184" s="1545">
        <v>1354166</v>
      </c>
      <c r="I184" s="1547">
        <v>716559.27</v>
      </c>
      <c r="J184" s="1546">
        <f t="shared" si="18"/>
        <v>52.915172142853983</v>
      </c>
    </row>
    <row r="185" spans="1:10" ht="25.5" x14ac:dyDescent="0.2">
      <c r="A185" s="2351"/>
      <c r="B185" s="1550" t="s">
        <v>2599</v>
      </c>
      <c r="C185" s="128" t="s">
        <v>32</v>
      </c>
      <c r="D185" s="128" t="s">
        <v>1027</v>
      </c>
      <c r="E185" s="1545">
        <v>4853</v>
      </c>
      <c r="F185" s="1545">
        <v>6153</v>
      </c>
      <c r="G185" s="1546">
        <f t="shared" si="17"/>
        <v>126.78755409025347</v>
      </c>
      <c r="H185" s="1545">
        <v>3323755</v>
      </c>
      <c r="I185" s="1547">
        <v>1897164.49</v>
      </c>
      <c r="J185" s="1546">
        <f t="shared" si="18"/>
        <v>57.078951065887829</v>
      </c>
    </row>
    <row r="186" spans="1:10" ht="25.5" x14ac:dyDescent="0.2">
      <c r="A186" s="2351"/>
      <c r="B186" s="1550" t="s">
        <v>2600</v>
      </c>
      <c r="C186" s="128" t="s">
        <v>32</v>
      </c>
      <c r="D186" s="128" t="s">
        <v>1027</v>
      </c>
      <c r="E186" s="1545">
        <v>1657</v>
      </c>
      <c r="F186" s="1545">
        <v>468</v>
      </c>
      <c r="G186" s="1546">
        <f t="shared" si="17"/>
        <v>28.243814121907064</v>
      </c>
      <c r="H186" s="1545">
        <v>1588746</v>
      </c>
      <c r="I186" s="1547">
        <v>561739.12</v>
      </c>
      <c r="J186" s="1546">
        <f t="shared" si="18"/>
        <v>35.357390042209389</v>
      </c>
    </row>
    <row r="187" spans="1:10" ht="38.25" x14ac:dyDescent="0.2">
      <c r="A187" s="2351"/>
      <c r="B187" s="1550" t="s">
        <v>2601</v>
      </c>
      <c r="C187" s="128" t="s">
        <v>32</v>
      </c>
      <c r="D187" s="128" t="s">
        <v>1025</v>
      </c>
      <c r="E187" s="1545">
        <v>134541</v>
      </c>
      <c r="F187" s="1545">
        <v>1325</v>
      </c>
      <c r="G187" s="1546">
        <f t="shared" si="17"/>
        <v>0.98482990315219898</v>
      </c>
      <c r="H187" s="1545">
        <v>1832066</v>
      </c>
      <c r="I187" s="1547">
        <v>756908.5</v>
      </c>
      <c r="J187" s="1546">
        <f t="shared" si="18"/>
        <v>41.314477753530717</v>
      </c>
    </row>
    <row r="188" spans="1:10" ht="38.25" x14ac:dyDescent="0.2">
      <c r="A188" s="2351"/>
      <c r="B188" s="1550" t="s">
        <v>2602</v>
      </c>
      <c r="C188" s="128" t="s">
        <v>32</v>
      </c>
      <c r="D188" s="128" t="s">
        <v>49</v>
      </c>
      <c r="E188" s="1545">
        <v>15536</v>
      </c>
      <c r="F188" s="1545">
        <v>686</v>
      </c>
      <c r="G188" s="1546">
        <f t="shared" si="17"/>
        <v>4.4155509783728109</v>
      </c>
      <c r="H188" s="1545">
        <v>743891</v>
      </c>
      <c r="I188" s="1547">
        <v>385975.41000000003</v>
      </c>
      <c r="J188" s="1546">
        <f t="shared" si="18"/>
        <v>51.886016903014024</v>
      </c>
    </row>
    <row r="189" spans="1:10" ht="38.25" x14ac:dyDescent="0.2">
      <c r="A189" s="2351"/>
      <c r="B189" s="1550" t="s">
        <v>2603</v>
      </c>
      <c r="C189" s="128" t="s">
        <v>32</v>
      </c>
      <c r="D189" s="128" t="s">
        <v>781</v>
      </c>
      <c r="E189" s="1545">
        <v>843</v>
      </c>
      <c r="F189" s="1545">
        <v>81</v>
      </c>
      <c r="G189" s="1546">
        <f t="shared" si="17"/>
        <v>9.6085409252669027</v>
      </c>
      <c r="H189" s="1545">
        <v>741273</v>
      </c>
      <c r="I189" s="1547">
        <v>373842.19</v>
      </c>
      <c r="J189" s="1546">
        <f t="shared" si="18"/>
        <v>50.432457407729679</v>
      </c>
    </row>
    <row r="190" spans="1:10" ht="36" customHeight="1" x14ac:dyDescent="0.2">
      <c r="A190" s="2351"/>
      <c r="B190" s="1550" t="s">
        <v>2604</v>
      </c>
      <c r="C190" s="128" t="s">
        <v>32</v>
      </c>
      <c r="D190" s="128" t="s">
        <v>1008</v>
      </c>
      <c r="E190" s="1545">
        <v>35</v>
      </c>
      <c r="F190" s="1545">
        <v>12</v>
      </c>
      <c r="G190" s="1546">
        <f t="shared" si="17"/>
        <v>34.285714285714285</v>
      </c>
      <c r="H190" s="1545">
        <v>92523</v>
      </c>
      <c r="I190" s="1547">
        <v>22913.31</v>
      </c>
      <c r="J190" s="1546">
        <f t="shared" si="18"/>
        <v>24.764988165104896</v>
      </c>
    </row>
    <row r="191" spans="1:10" ht="27.75" customHeight="1" x14ac:dyDescent="0.2">
      <c r="A191" s="2351"/>
      <c r="B191" s="1550" t="s">
        <v>2707</v>
      </c>
      <c r="C191" s="128" t="s">
        <v>32</v>
      </c>
      <c r="D191" s="128" t="s">
        <v>1027</v>
      </c>
      <c r="E191" s="1545">
        <v>996</v>
      </c>
      <c r="F191" s="1545">
        <v>600</v>
      </c>
      <c r="G191" s="1546">
        <f t="shared" si="17"/>
        <v>60.24096385542169</v>
      </c>
      <c r="H191" s="1545">
        <v>1015624</v>
      </c>
      <c r="I191" s="1547">
        <v>513753.67999999993</v>
      </c>
      <c r="J191" s="1546">
        <f t="shared" si="18"/>
        <v>50.585027529873251</v>
      </c>
    </row>
    <row r="192" spans="1:10" ht="18.75" customHeight="1" x14ac:dyDescent="0.2">
      <c r="A192" s="2351" t="s">
        <v>448</v>
      </c>
      <c r="B192" s="1551" t="s">
        <v>1034</v>
      </c>
      <c r="C192" s="1552"/>
      <c r="D192" s="1558"/>
      <c r="E192" s="1553"/>
      <c r="F192" s="1553"/>
      <c r="G192" s="1546"/>
      <c r="H192" s="1555">
        <v>11300531</v>
      </c>
      <c r="I192" s="1553">
        <v>3639365.1699999995</v>
      </c>
      <c r="J192" s="1554">
        <f t="shared" si="18"/>
        <v>32.205258053802957</v>
      </c>
    </row>
    <row r="193" spans="1:10" ht="25.5" x14ac:dyDescent="0.2">
      <c r="A193" s="2351"/>
      <c r="B193" s="1550" t="s">
        <v>2605</v>
      </c>
      <c r="C193" s="128" t="s">
        <v>32</v>
      </c>
      <c r="D193" s="128" t="s">
        <v>75</v>
      </c>
      <c r="E193" s="1545">
        <v>78</v>
      </c>
      <c r="F193" s="1545">
        <v>23</v>
      </c>
      <c r="G193" s="1546">
        <f t="shared" si="17"/>
        <v>29.487179487179489</v>
      </c>
      <c r="H193" s="1545">
        <v>703267</v>
      </c>
      <c r="I193" s="1547">
        <v>118833.12000000001</v>
      </c>
      <c r="J193" s="1546">
        <f t="shared" si="18"/>
        <v>16.897297896815864</v>
      </c>
    </row>
    <row r="194" spans="1:10" ht="25.5" x14ac:dyDescent="0.2">
      <c r="A194" s="2351"/>
      <c r="B194" s="1550" t="s">
        <v>2606</v>
      </c>
      <c r="C194" s="128" t="s">
        <v>32</v>
      </c>
      <c r="D194" s="128" t="s">
        <v>1007</v>
      </c>
      <c r="E194" s="1545">
        <v>3</v>
      </c>
      <c r="F194" s="1545">
        <v>1</v>
      </c>
      <c r="G194" s="1546">
        <f t="shared" si="17"/>
        <v>33.333333333333329</v>
      </c>
      <c r="H194" s="1545">
        <v>105195</v>
      </c>
      <c r="I194" s="1547">
        <v>46375.06</v>
      </c>
      <c r="J194" s="1546">
        <f t="shared" si="18"/>
        <v>44.084851941632202</v>
      </c>
    </row>
    <row r="195" spans="1:10" ht="38.25" x14ac:dyDescent="0.2">
      <c r="A195" s="2351"/>
      <c r="B195" s="1550" t="s">
        <v>2607</v>
      </c>
      <c r="C195" s="128" t="s">
        <v>32</v>
      </c>
      <c r="D195" s="128" t="s">
        <v>1025</v>
      </c>
      <c r="E195" s="1545">
        <v>91241</v>
      </c>
      <c r="F195" s="1545">
        <v>9026</v>
      </c>
      <c r="G195" s="1546">
        <f t="shared" si="17"/>
        <v>9.8924825462237376</v>
      </c>
      <c r="H195" s="1545">
        <v>1290156</v>
      </c>
      <c r="I195" s="1547">
        <v>499054.99</v>
      </c>
      <c r="J195" s="1546">
        <f t="shared" si="18"/>
        <v>38.681755539640164</v>
      </c>
    </row>
    <row r="196" spans="1:10" ht="25.5" x14ac:dyDescent="0.2">
      <c r="A196" s="2351"/>
      <c r="B196" s="1550" t="s">
        <v>2608</v>
      </c>
      <c r="C196" s="128" t="s">
        <v>32</v>
      </c>
      <c r="D196" s="128" t="s">
        <v>38</v>
      </c>
      <c r="E196" s="1545">
        <v>75399</v>
      </c>
      <c r="F196" s="1545">
        <v>28509</v>
      </c>
      <c r="G196" s="1546">
        <f t="shared" si="17"/>
        <v>37.810846297696251</v>
      </c>
      <c r="H196" s="1545">
        <v>751388</v>
      </c>
      <c r="I196" s="1547">
        <v>348112.12000000005</v>
      </c>
      <c r="J196" s="1546">
        <f t="shared" si="18"/>
        <v>46.329209409785634</v>
      </c>
    </row>
    <row r="197" spans="1:10" ht="25.5" x14ac:dyDescent="0.2">
      <c r="A197" s="2351"/>
      <c r="B197" s="1550" t="s">
        <v>2609</v>
      </c>
      <c r="C197" s="128" t="s">
        <v>32</v>
      </c>
      <c r="D197" s="128" t="s">
        <v>38</v>
      </c>
      <c r="E197" s="1545">
        <v>65664</v>
      </c>
      <c r="F197" s="1545">
        <v>33982</v>
      </c>
      <c r="G197" s="1546">
        <f t="shared" si="17"/>
        <v>51.751340155945428</v>
      </c>
      <c r="H197" s="1545">
        <v>455069</v>
      </c>
      <c r="I197" s="1547">
        <v>209520.63</v>
      </c>
      <c r="J197" s="1546">
        <f t="shared" si="18"/>
        <v>46.041507991095862</v>
      </c>
    </row>
    <row r="198" spans="1:10" ht="18.75" customHeight="1" x14ac:dyDescent="0.2">
      <c r="A198" s="2351"/>
      <c r="B198" s="1550" t="s">
        <v>2610</v>
      </c>
      <c r="C198" s="128" t="s">
        <v>32</v>
      </c>
      <c r="D198" s="128" t="s">
        <v>38</v>
      </c>
      <c r="E198" s="1545">
        <v>484</v>
      </c>
      <c r="F198" s="1545">
        <v>304</v>
      </c>
      <c r="G198" s="1546">
        <f t="shared" si="17"/>
        <v>62.809917355371901</v>
      </c>
      <c r="H198" s="1545">
        <v>44931</v>
      </c>
      <c r="I198" s="1547">
        <v>42261.25</v>
      </c>
      <c r="J198" s="1546">
        <f t="shared" si="18"/>
        <v>94.058111326255812</v>
      </c>
    </row>
    <row r="199" spans="1:10" ht="25.5" x14ac:dyDescent="0.2">
      <c r="A199" s="2351"/>
      <c r="B199" s="1550" t="s">
        <v>2611</v>
      </c>
      <c r="C199" s="128" t="s">
        <v>32</v>
      </c>
      <c r="D199" s="128" t="s">
        <v>38</v>
      </c>
      <c r="E199" s="1545">
        <v>36311</v>
      </c>
      <c r="F199" s="1545">
        <v>3650</v>
      </c>
      <c r="G199" s="1546">
        <f t="shared" si="17"/>
        <v>10.052050342871306</v>
      </c>
      <c r="H199" s="1545">
        <v>686278</v>
      </c>
      <c r="I199" s="1547">
        <v>255348.53</v>
      </c>
      <c r="J199" s="1546">
        <f t="shared" si="18"/>
        <v>37.207739429210903</v>
      </c>
    </row>
    <row r="200" spans="1:10" ht="25.5" x14ac:dyDescent="0.2">
      <c r="A200" s="2351"/>
      <c r="B200" s="1550" t="s">
        <v>2612</v>
      </c>
      <c r="C200" s="128" t="s">
        <v>32</v>
      </c>
      <c r="D200" s="128" t="s">
        <v>38</v>
      </c>
      <c r="E200" s="1545">
        <v>44240</v>
      </c>
      <c r="F200" s="1545">
        <v>1928</v>
      </c>
      <c r="G200" s="1546">
        <f t="shared" si="17"/>
        <v>4.3580470162748641</v>
      </c>
      <c r="H200" s="1545">
        <v>328919</v>
      </c>
      <c r="I200" s="1547">
        <v>178275.54</v>
      </c>
      <c r="J200" s="1546">
        <f t="shared" si="18"/>
        <v>54.200438405808114</v>
      </c>
    </row>
    <row r="201" spans="1:10" ht="25.5" x14ac:dyDescent="0.2">
      <c r="A201" s="2351"/>
      <c r="B201" s="1550" t="s">
        <v>2613</v>
      </c>
      <c r="C201" s="128" t="s">
        <v>32</v>
      </c>
      <c r="D201" s="128" t="s">
        <v>38</v>
      </c>
      <c r="E201" s="1545">
        <v>824</v>
      </c>
      <c r="F201" s="1545">
        <v>312</v>
      </c>
      <c r="G201" s="1546">
        <f t="shared" si="17"/>
        <v>37.864077669902912</v>
      </c>
      <c r="H201" s="1545">
        <v>235008</v>
      </c>
      <c r="I201" s="1547">
        <v>123677.35999999999</v>
      </c>
      <c r="J201" s="1546">
        <f t="shared" si="18"/>
        <v>52.626872276688452</v>
      </c>
    </row>
    <row r="202" spans="1:10" ht="18.75" customHeight="1" x14ac:dyDescent="0.2">
      <c r="A202" s="2351"/>
      <c r="B202" s="1302" t="s">
        <v>2614</v>
      </c>
      <c r="C202" s="128" t="s">
        <v>32</v>
      </c>
      <c r="D202" s="128" t="s">
        <v>38</v>
      </c>
      <c r="E202" s="1545">
        <v>792</v>
      </c>
      <c r="F202" s="1545">
        <v>459</v>
      </c>
      <c r="G202" s="1546">
        <f t="shared" si="17"/>
        <v>57.95454545454546</v>
      </c>
      <c r="H202" s="1545">
        <v>113080</v>
      </c>
      <c r="I202" s="1547">
        <v>57053.08</v>
      </c>
      <c r="J202" s="1546">
        <f t="shared" si="18"/>
        <v>50.453731871241601</v>
      </c>
    </row>
    <row r="203" spans="1:10" ht="25.5" x14ac:dyDescent="0.2">
      <c r="A203" s="2351"/>
      <c r="B203" s="1272" t="s">
        <v>2615</v>
      </c>
      <c r="C203" s="128" t="s">
        <v>32</v>
      </c>
      <c r="D203" s="128" t="s">
        <v>38</v>
      </c>
      <c r="E203" s="1545">
        <v>57577</v>
      </c>
      <c r="F203" s="1545">
        <v>38925</v>
      </c>
      <c r="G203" s="1546">
        <f t="shared" si="17"/>
        <v>67.605120100039954</v>
      </c>
      <c r="H203" s="1545">
        <v>869156</v>
      </c>
      <c r="I203" s="1547">
        <v>366782.75</v>
      </c>
      <c r="J203" s="1546">
        <f t="shared" si="18"/>
        <v>42.199875511415676</v>
      </c>
    </row>
    <row r="204" spans="1:10" ht="25.5" x14ac:dyDescent="0.2">
      <c r="A204" s="2351"/>
      <c r="B204" s="1272" t="s">
        <v>2616</v>
      </c>
      <c r="C204" s="128" t="s">
        <v>32</v>
      </c>
      <c r="D204" s="128" t="s">
        <v>38</v>
      </c>
      <c r="E204" s="1545">
        <v>18934</v>
      </c>
      <c r="F204" s="1545">
        <v>3654</v>
      </c>
      <c r="G204" s="1546">
        <f t="shared" si="17"/>
        <v>19.298616245906835</v>
      </c>
      <c r="H204" s="1545">
        <v>299865</v>
      </c>
      <c r="I204" s="1547">
        <v>148590.54</v>
      </c>
      <c r="J204" s="1546">
        <f t="shared" si="18"/>
        <v>49.55247861537692</v>
      </c>
    </row>
    <row r="205" spans="1:10" ht="18.75" customHeight="1" x14ac:dyDescent="0.2">
      <c r="A205" s="2351"/>
      <c r="B205" s="1302" t="s">
        <v>2617</v>
      </c>
      <c r="C205" s="128" t="s">
        <v>32</v>
      </c>
      <c r="D205" s="128" t="s">
        <v>38</v>
      </c>
      <c r="E205" s="1545">
        <v>711</v>
      </c>
      <c r="F205" s="1545">
        <v>392</v>
      </c>
      <c r="G205" s="1546">
        <f t="shared" si="17"/>
        <v>55.13361462728551</v>
      </c>
      <c r="H205" s="1545">
        <v>79871</v>
      </c>
      <c r="I205" s="1547">
        <v>53105.68</v>
      </c>
      <c r="J205" s="1546">
        <f t="shared" si="18"/>
        <v>66.48931401885541</v>
      </c>
    </row>
    <row r="206" spans="1:10" ht="25.5" x14ac:dyDescent="0.2">
      <c r="A206" s="2351"/>
      <c r="B206" s="1272" t="s">
        <v>2618</v>
      </c>
      <c r="C206" s="128" t="s">
        <v>32</v>
      </c>
      <c r="D206" s="128" t="s">
        <v>1025</v>
      </c>
      <c r="E206" s="1545">
        <v>365</v>
      </c>
      <c r="F206" s="1545">
        <v>9</v>
      </c>
      <c r="G206" s="1546">
        <f t="shared" si="17"/>
        <v>2.4657534246575343</v>
      </c>
      <c r="H206" s="1545">
        <v>77712</v>
      </c>
      <c r="I206" s="1547">
        <v>0</v>
      </c>
      <c r="J206" s="1546">
        <f t="shared" si="18"/>
        <v>0</v>
      </c>
    </row>
    <row r="207" spans="1:10" ht="25.5" x14ac:dyDescent="0.2">
      <c r="A207" s="2351"/>
      <c r="B207" s="1272" t="s">
        <v>2619</v>
      </c>
      <c r="C207" s="128" t="s">
        <v>32</v>
      </c>
      <c r="D207" s="128" t="s">
        <v>1033</v>
      </c>
      <c r="E207" s="1545">
        <v>54457</v>
      </c>
      <c r="F207" s="1545">
        <v>16521</v>
      </c>
      <c r="G207" s="1546">
        <f t="shared" si="17"/>
        <v>30.337697632994843</v>
      </c>
      <c r="H207" s="1545">
        <v>2913916</v>
      </c>
      <c r="I207" s="1547">
        <v>749039.91</v>
      </c>
      <c r="J207" s="1546">
        <f t="shared" si="18"/>
        <v>25.70561093730911</v>
      </c>
    </row>
    <row r="208" spans="1:10" ht="38.25" x14ac:dyDescent="0.2">
      <c r="A208" s="2351"/>
      <c r="B208" s="1272" t="s">
        <v>2620</v>
      </c>
      <c r="C208" s="128" t="s">
        <v>32</v>
      </c>
      <c r="D208" s="128" t="s">
        <v>57</v>
      </c>
      <c r="E208" s="1545">
        <v>867</v>
      </c>
      <c r="F208" s="1545">
        <v>33</v>
      </c>
      <c r="G208" s="1546">
        <f t="shared" si="17"/>
        <v>3.8062283737024223</v>
      </c>
      <c r="H208" s="1545">
        <v>124169</v>
      </c>
      <c r="I208" s="1547">
        <v>36450.550000000003</v>
      </c>
      <c r="J208" s="1546">
        <f t="shared" si="18"/>
        <v>29.355596002222779</v>
      </c>
    </row>
    <row r="209" spans="1:10" ht="25.5" x14ac:dyDescent="0.2">
      <c r="A209" s="2351"/>
      <c r="B209" s="1272" t="s">
        <v>2621</v>
      </c>
      <c r="C209" s="128" t="s">
        <v>32</v>
      </c>
      <c r="D209" s="128" t="s">
        <v>49</v>
      </c>
      <c r="E209" s="1545">
        <v>45606.5</v>
      </c>
      <c r="F209" s="1545">
        <v>553</v>
      </c>
      <c r="G209" s="1546">
        <f t="shared" si="17"/>
        <v>1.2125464571936018</v>
      </c>
      <c r="H209" s="1545">
        <v>197697</v>
      </c>
      <c r="I209" s="1547">
        <v>78449.05</v>
      </c>
      <c r="J209" s="1546">
        <f t="shared" si="18"/>
        <v>39.681456977091209</v>
      </c>
    </row>
    <row r="210" spans="1:10" ht="25.5" x14ac:dyDescent="0.2">
      <c r="A210" s="2351"/>
      <c r="B210" s="1272" t="s">
        <v>2622</v>
      </c>
      <c r="C210" s="128" t="s">
        <v>32</v>
      </c>
      <c r="D210" s="128" t="s">
        <v>1008</v>
      </c>
      <c r="E210" s="1545">
        <v>94</v>
      </c>
      <c r="F210" s="1545">
        <v>11</v>
      </c>
      <c r="G210" s="1546">
        <f t="shared" si="17"/>
        <v>11.702127659574469</v>
      </c>
      <c r="H210" s="1545">
        <v>118700</v>
      </c>
      <c r="I210" s="1547">
        <v>37076.629999999997</v>
      </c>
      <c r="J210" s="1546">
        <f t="shared" si="18"/>
        <v>31.235577085088455</v>
      </c>
    </row>
    <row r="211" spans="1:10" ht="25.5" x14ac:dyDescent="0.2">
      <c r="A211" s="2351"/>
      <c r="B211" s="1272" t="s">
        <v>2623</v>
      </c>
      <c r="C211" s="128" t="s">
        <v>32</v>
      </c>
      <c r="D211" s="128" t="s">
        <v>38</v>
      </c>
      <c r="E211" s="1545">
        <v>29376</v>
      </c>
      <c r="F211" s="1545">
        <v>2774</v>
      </c>
      <c r="G211" s="1546">
        <f t="shared" si="17"/>
        <v>9.443082788671024</v>
      </c>
      <c r="H211" s="1545">
        <v>65571</v>
      </c>
      <c r="I211" s="1547">
        <v>43291.99</v>
      </c>
      <c r="J211" s="1546">
        <f t="shared" si="18"/>
        <v>66.023074224886003</v>
      </c>
    </row>
    <row r="212" spans="1:10" ht="25.5" x14ac:dyDescent="0.2">
      <c r="A212" s="2351"/>
      <c r="B212" s="1272" t="s">
        <v>2624</v>
      </c>
      <c r="C212" s="128" t="s">
        <v>32</v>
      </c>
      <c r="D212" s="128" t="s">
        <v>38</v>
      </c>
      <c r="E212" s="1545">
        <v>100</v>
      </c>
      <c r="F212" s="1545">
        <v>195</v>
      </c>
      <c r="G212" s="1546">
        <f t="shared" si="17"/>
        <v>195</v>
      </c>
      <c r="H212" s="1545">
        <v>7060</v>
      </c>
      <c r="I212" s="1547">
        <v>7060</v>
      </c>
      <c r="J212" s="1546">
        <f t="shared" si="18"/>
        <v>100</v>
      </c>
    </row>
    <row r="213" spans="1:10" ht="25.5" x14ac:dyDescent="0.2">
      <c r="A213" s="2351"/>
      <c r="B213" s="1272" t="s">
        <v>2625</v>
      </c>
      <c r="C213" s="128" t="s">
        <v>32</v>
      </c>
      <c r="D213" s="128" t="s">
        <v>38</v>
      </c>
      <c r="E213" s="1545">
        <v>130</v>
      </c>
      <c r="F213" s="1545">
        <v>71</v>
      </c>
      <c r="G213" s="1546">
        <f t="shared" si="17"/>
        <v>54.615384615384613</v>
      </c>
      <c r="H213" s="1545">
        <v>67616</v>
      </c>
      <c r="I213" s="1547">
        <v>26303.84</v>
      </c>
      <c r="J213" s="1546">
        <f t="shared" si="18"/>
        <v>38.901798390913392</v>
      </c>
    </row>
    <row r="214" spans="1:10" ht="25.5" x14ac:dyDescent="0.2">
      <c r="A214" s="2351"/>
      <c r="B214" s="1272" t="s">
        <v>2626</v>
      </c>
      <c r="C214" s="128" t="s">
        <v>32</v>
      </c>
      <c r="D214" s="128" t="s">
        <v>38</v>
      </c>
      <c r="E214" s="1545">
        <v>120</v>
      </c>
      <c r="F214" s="1545">
        <v>5</v>
      </c>
      <c r="G214" s="1546">
        <f t="shared" si="17"/>
        <v>4.1666666666666661</v>
      </c>
      <c r="H214" s="1545">
        <v>50610</v>
      </c>
      <c r="I214" s="1547">
        <v>14720.11</v>
      </c>
      <c r="J214" s="1546">
        <f t="shared" si="18"/>
        <v>29.085378383718634</v>
      </c>
    </row>
    <row r="215" spans="1:10" ht="25.5" x14ac:dyDescent="0.2">
      <c r="A215" s="2351"/>
      <c r="B215" s="1272" t="s">
        <v>2627</v>
      </c>
      <c r="C215" s="128" t="s">
        <v>32</v>
      </c>
      <c r="D215" s="128" t="s">
        <v>38</v>
      </c>
      <c r="E215" s="1545">
        <v>120</v>
      </c>
      <c r="F215" s="1545">
        <v>100</v>
      </c>
      <c r="G215" s="1546">
        <f t="shared" si="17"/>
        <v>83.333333333333343</v>
      </c>
      <c r="H215" s="1545">
        <v>989050</v>
      </c>
      <c r="I215" s="1547">
        <v>7050</v>
      </c>
      <c r="J215" s="1546">
        <f t="shared" si="18"/>
        <v>0.71280521712754663</v>
      </c>
    </row>
    <row r="216" spans="1:10" ht="25.5" x14ac:dyDescent="0.2">
      <c r="A216" s="2351"/>
      <c r="B216" s="1272" t="s">
        <v>2628</v>
      </c>
      <c r="C216" s="128" t="s">
        <v>32</v>
      </c>
      <c r="D216" s="128" t="s">
        <v>38</v>
      </c>
      <c r="E216" s="1545">
        <v>100</v>
      </c>
      <c r="F216" s="1545">
        <v>11</v>
      </c>
      <c r="G216" s="1546">
        <f t="shared" si="17"/>
        <v>11</v>
      </c>
      <c r="H216" s="1545">
        <v>7155</v>
      </c>
      <c r="I216" s="1547">
        <v>7153.55</v>
      </c>
      <c r="J216" s="1546">
        <f t="shared" si="18"/>
        <v>99.979734451432563</v>
      </c>
    </row>
    <row r="217" spans="1:10" ht="25.5" x14ac:dyDescent="0.2">
      <c r="A217" s="2351"/>
      <c r="B217" s="1272" t="s">
        <v>2629</v>
      </c>
      <c r="C217" s="128" t="s">
        <v>32</v>
      </c>
      <c r="D217" s="128" t="s">
        <v>38</v>
      </c>
      <c r="E217" s="1545">
        <v>30</v>
      </c>
      <c r="F217" s="1545">
        <v>1</v>
      </c>
      <c r="G217" s="1546">
        <f t="shared" si="17"/>
        <v>3.3333333333333335</v>
      </c>
      <c r="H217" s="1545">
        <v>8830</v>
      </c>
      <c r="I217" s="1547">
        <v>8827.75</v>
      </c>
      <c r="J217" s="1546">
        <f t="shared" si="18"/>
        <v>99.974518686296719</v>
      </c>
    </row>
    <row r="218" spans="1:10" ht="18" customHeight="1" x14ac:dyDescent="0.2">
      <c r="A218" s="2351"/>
      <c r="B218" s="1272" t="s">
        <v>2711</v>
      </c>
      <c r="C218" s="128" t="s">
        <v>32</v>
      </c>
      <c r="D218" s="128" t="s">
        <v>38</v>
      </c>
      <c r="E218" s="1545">
        <v>30</v>
      </c>
      <c r="F218" s="1545">
        <v>2</v>
      </c>
      <c r="G218" s="1546">
        <f t="shared" si="17"/>
        <v>6.666666666666667</v>
      </c>
      <c r="H218" s="1545">
        <v>6761</v>
      </c>
      <c r="I218" s="1547">
        <v>6758.64</v>
      </c>
      <c r="J218" s="1546">
        <f t="shared" si="18"/>
        <v>99.965093921017598</v>
      </c>
    </row>
    <row r="219" spans="1:10" ht="25.5" x14ac:dyDescent="0.2">
      <c r="A219" s="2351"/>
      <c r="B219" s="1272" t="s">
        <v>2630</v>
      </c>
      <c r="C219" s="128" t="s">
        <v>32</v>
      </c>
      <c r="D219" s="128" t="s">
        <v>38</v>
      </c>
      <c r="E219" s="1545">
        <v>30</v>
      </c>
      <c r="F219" s="1545">
        <v>1</v>
      </c>
      <c r="G219" s="1546">
        <f t="shared" si="17"/>
        <v>3.3333333333333335</v>
      </c>
      <c r="H219" s="1545">
        <v>9435</v>
      </c>
      <c r="I219" s="1547">
        <v>9434.94</v>
      </c>
      <c r="J219" s="1546">
        <f t="shared" si="18"/>
        <v>99.999364069952307</v>
      </c>
    </row>
    <row r="220" spans="1:10" ht="18.75" customHeight="1" x14ac:dyDescent="0.2">
      <c r="A220" s="2351"/>
      <c r="B220" s="1272" t="s">
        <v>2631</v>
      </c>
      <c r="C220" s="128" t="s">
        <v>32</v>
      </c>
      <c r="D220" s="128" t="s">
        <v>38</v>
      </c>
      <c r="E220" s="1545">
        <v>80</v>
      </c>
      <c r="F220" s="1545">
        <v>80</v>
      </c>
      <c r="G220" s="1546">
        <f t="shared" si="17"/>
        <v>100</v>
      </c>
      <c r="H220" s="1545">
        <v>8436</v>
      </c>
      <c r="I220" s="1547">
        <v>8435.94</v>
      </c>
      <c r="J220" s="1546">
        <f t="shared" si="18"/>
        <v>99.999288762446653</v>
      </c>
    </row>
    <row r="221" spans="1:10" ht="18.75" customHeight="1" x14ac:dyDescent="0.2">
      <c r="A221" s="2351"/>
      <c r="B221" s="1272" t="s">
        <v>2632</v>
      </c>
      <c r="C221" s="128" t="s">
        <v>32</v>
      </c>
      <c r="D221" s="128" t="s">
        <v>38</v>
      </c>
      <c r="E221" s="1545">
        <v>20</v>
      </c>
      <c r="F221" s="1545">
        <v>20</v>
      </c>
      <c r="G221" s="1546">
        <f t="shared" si="17"/>
        <v>100</v>
      </c>
      <c r="H221" s="1545">
        <v>6318</v>
      </c>
      <c r="I221" s="1547">
        <v>6317.53</v>
      </c>
      <c r="J221" s="1546">
        <f t="shared" si="18"/>
        <v>99.992560937005379</v>
      </c>
    </row>
    <row r="222" spans="1:10" ht="25.5" x14ac:dyDescent="0.2">
      <c r="A222" s="2351"/>
      <c r="B222" s="1272" t="s">
        <v>2633</v>
      </c>
      <c r="C222" s="128" t="s">
        <v>32</v>
      </c>
      <c r="D222" s="128" t="s">
        <v>38</v>
      </c>
      <c r="E222" s="1545">
        <v>120</v>
      </c>
      <c r="F222" s="1545">
        <v>30</v>
      </c>
      <c r="G222" s="1546">
        <f t="shared" ref="G222:G285" si="19">+F222/E222*100</f>
        <v>25</v>
      </c>
      <c r="H222" s="1545">
        <v>9434</v>
      </c>
      <c r="I222" s="1547">
        <v>9433.92</v>
      </c>
      <c r="J222" s="1546">
        <f t="shared" ref="J222:J285" si="20">+I222/H222*100</f>
        <v>99.999152003391984</v>
      </c>
    </row>
    <row r="223" spans="1:10" ht="18.75" customHeight="1" x14ac:dyDescent="0.2">
      <c r="A223" s="2351"/>
      <c r="B223" s="1272" t="s">
        <v>2634</v>
      </c>
      <c r="C223" s="128" t="s">
        <v>32</v>
      </c>
      <c r="D223" s="128" t="s">
        <v>38</v>
      </c>
      <c r="E223" s="1545">
        <v>21</v>
      </c>
      <c r="F223" s="1545">
        <v>446</v>
      </c>
      <c r="G223" s="1546">
        <f t="shared" si="19"/>
        <v>2123.8095238095239</v>
      </c>
      <c r="H223" s="1545">
        <v>654117</v>
      </c>
      <c r="I223" s="1547">
        <v>130293.17</v>
      </c>
      <c r="J223" s="1546">
        <f t="shared" si="20"/>
        <v>19.918939578087713</v>
      </c>
    </row>
    <row r="224" spans="1:10" ht="18.75" customHeight="1" x14ac:dyDescent="0.2">
      <c r="A224" s="2351"/>
      <c r="B224" s="1272" t="s">
        <v>2635</v>
      </c>
      <c r="C224" s="128" t="s">
        <v>32</v>
      </c>
      <c r="D224" s="128" t="s">
        <v>38</v>
      </c>
      <c r="E224" s="1545">
        <v>11</v>
      </c>
      <c r="F224" s="1545">
        <v>178</v>
      </c>
      <c r="G224" s="1546">
        <f t="shared" si="19"/>
        <v>1618.1818181818182</v>
      </c>
      <c r="H224" s="1545">
        <v>15761</v>
      </c>
      <c r="I224" s="1547">
        <v>6277</v>
      </c>
      <c r="J224" s="1546">
        <f t="shared" si="20"/>
        <v>39.826153162870376</v>
      </c>
    </row>
    <row r="225" spans="1:10" ht="16.5" customHeight="1" x14ac:dyDescent="0.2">
      <c r="A225" s="2351" t="s">
        <v>744</v>
      </c>
      <c r="B225" s="1560" t="s">
        <v>1035</v>
      </c>
      <c r="C225" s="1561"/>
      <c r="D225" s="1562"/>
      <c r="E225" s="1553"/>
      <c r="F225" s="1553"/>
      <c r="G225" s="1554"/>
      <c r="H225" s="1555">
        <v>3369444.3</v>
      </c>
      <c r="I225" s="1553">
        <v>1310343.8300000003</v>
      </c>
      <c r="J225" s="1554">
        <f t="shared" si="20"/>
        <v>38.889018880650447</v>
      </c>
    </row>
    <row r="226" spans="1:10" ht="25.5" x14ac:dyDescent="0.2">
      <c r="A226" s="2351"/>
      <c r="B226" s="1272" t="s">
        <v>2636</v>
      </c>
      <c r="C226" s="128" t="s">
        <v>32</v>
      </c>
      <c r="D226" s="128" t="s">
        <v>91</v>
      </c>
      <c r="E226" s="1545">
        <v>23</v>
      </c>
      <c r="F226" s="1545">
        <v>5</v>
      </c>
      <c r="G226" s="1546">
        <f t="shared" si="19"/>
        <v>21.739130434782609</v>
      </c>
      <c r="H226" s="1545">
        <v>74695</v>
      </c>
      <c r="I226" s="1547">
        <v>25098.55</v>
      </c>
      <c r="J226" s="1546">
        <f t="shared" si="20"/>
        <v>33.601378941026844</v>
      </c>
    </row>
    <row r="227" spans="1:10" ht="25.5" x14ac:dyDescent="0.2">
      <c r="A227" s="2351"/>
      <c r="B227" s="1272" t="s">
        <v>2712</v>
      </c>
      <c r="C227" s="128" t="s">
        <v>32</v>
      </c>
      <c r="D227" s="128" t="s">
        <v>337</v>
      </c>
      <c r="E227" s="1545">
        <v>1</v>
      </c>
      <c r="F227" s="1545">
        <v>960</v>
      </c>
      <c r="G227" s="1546">
        <f t="shared" si="19"/>
        <v>96000</v>
      </c>
      <c r="H227" s="1545">
        <v>14298</v>
      </c>
      <c r="I227" s="1547">
        <v>12279.52</v>
      </c>
      <c r="J227" s="1546">
        <f t="shared" si="20"/>
        <v>85.882780808504691</v>
      </c>
    </row>
    <row r="228" spans="1:10" ht="25.5" x14ac:dyDescent="0.2">
      <c r="A228" s="2351"/>
      <c r="B228" s="1272" t="s">
        <v>2637</v>
      </c>
      <c r="C228" s="128" t="s">
        <v>32</v>
      </c>
      <c r="D228" s="128" t="s">
        <v>91</v>
      </c>
      <c r="E228" s="1545">
        <v>23</v>
      </c>
      <c r="F228" s="1545">
        <v>11</v>
      </c>
      <c r="G228" s="1546">
        <f t="shared" si="19"/>
        <v>47.826086956521742</v>
      </c>
      <c r="H228" s="1545">
        <v>157788</v>
      </c>
      <c r="I228" s="1547">
        <v>79606.5</v>
      </c>
      <c r="J228" s="1546">
        <f t="shared" si="20"/>
        <v>50.451555251349909</v>
      </c>
    </row>
    <row r="229" spans="1:10" ht="25.5" x14ac:dyDescent="0.2">
      <c r="A229" s="2351"/>
      <c r="B229" s="1272" t="s">
        <v>2638</v>
      </c>
      <c r="C229" s="128" t="s">
        <v>32</v>
      </c>
      <c r="D229" s="128" t="s">
        <v>96</v>
      </c>
      <c r="E229" s="1545">
        <v>76</v>
      </c>
      <c r="F229" s="1545">
        <v>37</v>
      </c>
      <c r="G229" s="1546">
        <f t="shared" si="19"/>
        <v>48.684210526315788</v>
      </c>
      <c r="H229" s="1545">
        <v>52161</v>
      </c>
      <c r="I229" s="1547">
        <v>22245.489999999998</v>
      </c>
      <c r="J229" s="1546">
        <f t="shared" si="20"/>
        <v>42.647744483426308</v>
      </c>
    </row>
    <row r="230" spans="1:10" ht="25.5" x14ac:dyDescent="0.2">
      <c r="A230" s="2351"/>
      <c r="B230" s="1272" t="s">
        <v>2639</v>
      </c>
      <c r="C230" s="128" t="s">
        <v>32</v>
      </c>
      <c r="D230" s="128" t="s">
        <v>1036</v>
      </c>
      <c r="E230" s="1545">
        <v>9</v>
      </c>
      <c r="F230" s="1545">
        <v>3</v>
      </c>
      <c r="G230" s="1546">
        <f t="shared" si="19"/>
        <v>33.333333333333329</v>
      </c>
      <c r="H230" s="1545">
        <v>119653</v>
      </c>
      <c r="I230" s="1547">
        <v>24754</v>
      </c>
      <c r="J230" s="1546">
        <f t="shared" si="20"/>
        <v>20.688156586128219</v>
      </c>
    </row>
    <row r="231" spans="1:10" ht="25.5" x14ac:dyDescent="0.2">
      <c r="A231" s="2351"/>
      <c r="B231" s="1272" t="s">
        <v>2640</v>
      </c>
      <c r="C231" s="128" t="s">
        <v>32</v>
      </c>
      <c r="D231" s="128" t="s">
        <v>92</v>
      </c>
      <c r="E231" s="1545">
        <v>9510</v>
      </c>
      <c r="F231" s="1545">
        <v>3470</v>
      </c>
      <c r="G231" s="1546">
        <f t="shared" si="19"/>
        <v>36.487907465825451</v>
      </c>
      <c r="H231" s="1545">
        <v>249454</v>
      </c>
      <c r="I231" s="1547">
        <v>53734.789999999994</v>
      </c>
      <c r="J231" s="1546">
        <f t="shared" si="20"/>
        <v>21.54096145982826</v>
      </c>
    </row>
    <row r="232" spans="1:10" ht="25.5" x14ac:dyDescent="0.2">
      <c r="A232" s="2351"/>
      <c r="B232" s="1272" t="s">
        <v>2641</v>
      </c>
      <c r="C232" s="128" t="s">
        <v>32</v>
      </c>
      <c r="D232" s="128" t="s">
        <v>92</v>
      </c>
      <c r="E232" s="1545">
        <v>12153</v>
      </c>
      <c r="F232" s="1545">
        <v>2805</v>
      </c>
      <c r="G232" s="1546">
        <f t="shared" si="19"/>
        <v>23.08072080967662</v>
      </c>
      <c r="H232" s="1545">
        <v>135589</v>
      </c>
      <c r="I232" s="1547">
        <v>43801.9</v>
      </c>
      <c r="J232" s="1546">
        <f t="shared" si="20"/>
        <v>32.304906740222286</v>
      </c>
    </row>
    <row r="233" spans="1:10" ht="25.5" x14ac:dyDescent="0.2">
      <c r="A233" s="2351"/>
      <c r="B233" s="1272" t="s">
        <v>2642</v>
      </c>
      <c r="C233" s="128" t="s">
        <v>32</v>
      </c>
      <c r="D233" s="128" t="s">
        <v>112</v>
      </c>
      <c r="E233" s="1545">
        <v>26</v>
      </c>
      <c r="F233" s="1545">
        <v>10</v>
      </c>
      <c r="G233" s="1546">
        <f t="shared" si="19"/>
        <v>38.461538461538467</v>
      </c>
      <c r="H233" s="1545">
        <v>134929</v>
      </c>
      <c r="I233" s="1547">
        <v>46567.670000000006</v>
      </c>
      <c r="J233" s="1546">
        <f t="shared" si="20"/>
        <v>34.51272150538432</v>
      </c>
    </row>
    <row r="234" spans="1:10" ht="25.5" x14ac:dyDescent="0.2">
      <c r="A234" s="2351"/>
      <c r="B234" s="1272" t="s">
        <v>2643</v>
      </c>
      <c r="C234" s="128" t="s">
        <v>32</v>
      </c>
      <c r="D234" s="128" t="s">
        <v>95</v>
      </c>
      <c r="E234" s="1545">
        <v>36</v>
      </c>
      <c r="F234" s="1545">
        <v>4</v>
      </c>
      <c r="G234" s="1546">
        <f t="shared" si="19"/>
        <v>11.111111111111111</v>
      </c>
      <c r="H234" s="1545">
        <v>29772</v>
      </c>
      <c r="I234" s="1547">
        <v>12959.7</v>
      </c>
      <c r="J234" s="1546">
        <f t="shared" si="20"/>
        <v>43.529826682789199</v>
      </c>
    </row>
    <row r="235" spans="1:10" ht="25.5" x14ac:dyDescent="0.2">
      <c r="A235" s="2351"/>
      <c r="B235" s="1272" t="s">
        <v>2644</v>
      </c>
      <c r="C235" s="128" t="s">
        <v>32</v>
      </c>
      <c r="D235" s="128" t="s">
        <v>38</v>
      </c>
      <c r="E235" s="1545">
        <v>644</v>
      </c>
      <c r="F235" s="1545">
        <v>362</v>
      </c>
      <c r="G235" s="1546">
        <f t="shared" si="19"/>
        <v>56.211180124223603</v>
      </c>
      <c r="H235" s="1545">
        <v>70046</v>
      </c>
      <c r="I235" s="1547">
        <v>32851.910000000003</v>
      </c>
      <c r="J235" s="1546">
        <f t="shared" si="20"/>
        <v>46.900479684778581</v>
      </c>
    </row>
    <row r="236" spans="1:10" ht="25.5" x14ac:dyDescent="0.2">
      <c r="A236" s="2351"/>
      <c r="B236" s="1272" t="s">
        <v>2645</v>
      </c>
      <c r="C236" s="128" t="s">
        <v>32</v>
      </c>
      <c r="D236" s="128" t="s">
        <v>95</v>
      </c>
      <c r="E236" s="1545">
        <v>45</v>
      </c>
      <c r="F236" s="1545">
        <v>17</v>
      </c>
      <c r="G236" s="1546">
        <f t="shared" si="19"/>
        <v>37.777777777777779</v>
      </c>
      <c r="H236" s="1545">
        <v>109773</v>
      </c>
      <c r="I236" s="1547">
        <v>56455.53</v>
      </c>
      <c r="J236" s="1546">
        <f t="shared" si="20"/>
        <v>51.429340548222235</v>
      </c>
    </row>
    <row r="237" spans="1:10" ht="38.25" x14ac:dyDescent="0.2">
      <c r="A237" s="2351"/>
      <c r="B237" s="1272" t="s">
        <v>2646</v>
      </c>
      <c r="C237" s="128" t="s">
        <v>32</v>
      </c>
      <c r="D237" s="128" t="s">
        <v>95</v>
      </c>
      <c r="E237" s="1545">
        <v>133</v>
      </c>
      <c r="F237" s="1545">
        <v>40</v>
      </c>
      <c r="G237" s="1546">
        <f t="shared" si="19"/>
        <v>30.075187969924812</v>
      </c>
      <c r="H237" s="1545">
        <v>1902311</v>
      </c>
      <c r="I237" s="1547">
        <v>745663.93</v>
      </c>
      <c r="J237" s="1546">
        <f t="shared" si="20"/>
        <v>39.19779310533346</v>
      </c>
    </row>
    <row r="238" spans="1:10" ht="25.5" x14ac:dyDescent="0.2">
      <c r="A238" s="2351"/>
      <c r="B238" s="1272" t="s">
        <v>2647</v>
      </c>
      <c r="C238" s="128" t="s">
        <v>32</v>
      </c>
      <c r="D238" s="128" t="s">
        <v>1036</v>
      </c>
      <c r="E238" s="1545">
        <v>13</v>
      </c>
      <c r="F238" s="1545">
        <v>4</v>
      </c>
      <c r="G238" s="1546">
        <f t="shared" si="19"/>
        <v>30.76923076923077</v>
      </c>
      <c r="H238" s="1545">
        <v>155078</v>
      </c>
      <c r="I238" s="1547">
        <v>67390.34</v>
      </c>
      <c r="J238" s="1546">
        <f t="shared" si="20"/>
        <v>43.455770644449885</v>
      </c>
    </row>
    <row r="239" spans="1:10" ht="25.5" x14ac:dyDescent="0.2">
      <c r="A239" s="2351"/>
      <c r="B239" s="1272" t="s">
        <v>2648</v>
      </c>
      <c r="C239" s="128" t="s">
        <v>32</v>
      </c>
      <c r="D239" s="128" t="s">
        <v>1036</v>
      </c>
      <c r="E239" s="1545">
        <v>33</v>
      </c>
      <c r="F239" s="1545">
        <v>14</v>
      </c>
      <c r="G239" s="1546">
        <f t="shared" si="19"/>
        <v>42.424242424242422</v>
      </c>
      <c r="H239" s="1545">
        <v>163897.29999999999</v>
      </c>
      <c r="I239" s="1547">
        <v>86934</v>
      </c>
      <c r="J239" s="1546">
        <f t="shared" si="20"/>
        <v>53.041752365658255</v>
      </c>
    </row>
    <row r="240" spans="1:10" ht="18.75" customHeight="1" x14ac:dyDescent="0.2">
      <c r="A240" s="2352">
        <v>8</v>
      </c>
      <c r="B240" s="1560" t="s">
        <v>1043</v>
      </c>
      <c r="C240" s="681"/>
      <c r="D240" s="1562"/>
      <c r="E240" s="1553">
        <v>11618</v>
      </c>
      <c r="F240" s="1553">
        <v>6170</v>
      </c>
      <c r="G240" s="1554">
        <f t="shared" si="19"/>
        <v>53.107247374763297</v>
      </c>
      <c r="H240" s="1555">
        <v>4542242</v>
      </c>
      <c r="I240" s="1553">
        <v>1438795.73</v>
      </c>
      <c r="J240" s="1554">
        <f t="shared" si="20"/>
        <v>31.675893314358856</v>
      </c>
    </row>
    <row r="241" spans="1:10" ht="25.5" x14ac:dyDescent="0.2">
      <c r="A241" s="2352"/>
      <c r="B241" s="1272" t="s">
        <v>2649</v>
      </c>
      <c r="C241" s="128" t="s">
        <v>32</v>
      </c>
      <c r="D241" s="128" t="s">
        <v>92</v>
      </c>
      <c r="E241" s="1545">
        <v>1</v>
      </c>
      <c r="F241" s="1548">
        <v>0.5</v>
      </c>
      <c r="G241" s="1546">
        <f t="shared" si="19"/>
        <v>50</v>
      </c>
      <c r="H241" s="1545">
        <v>48750</v>
      </c>
      <c r="I241" s="1547">
        <v>21834.76</v>
      </c>
      <c r="J241" s="1546">
        <f t="shared" si="20"/>
        <v>44.789251282051282</v>
      </c>
    </row>
    <row r="242" spans="1:10" ht="18.75" customHeight="1" x14ac:dyDescent="0.2">
      <c r="A242" s="2352"/>
      <c r="B242" s="1272" t="s">
        <v>2650</v>
      </c>
      <c r="C242" s="128" t="s">
        <v>32</v>
      </c>
      <c r="D242" s="128" t="s">
        <v>1018</v>
      </c>
      <c r="E242" s="1545">
        <v>1141</v>
      </c>
      <c r="F242" s="1545">
        <v>435</v>
      </c>
      <c r="G242" s="1546">
        <f t="shared" si="19"/>
        <v>38.124452234881687</v>
      </c>
      <c r="H242" s="1545">
        <v>100630</v>
      </c>
      <c r="I242" s="1547">
        <v>50625.9</v>
      </c>
      <c r="J242" s="1546">
        <f t="shared" si="20"/>
        <v>50.308953592368077</v>
      </c>
    </row>
    <row r="243" spans="1:10" ht="25.5" x14ac:dyDescent="0.2">
      <c r="A243" s="2352"/>
      <c r="B243" s="1272" t="s">
        <v>2651</v>
      </c>
      <c r="C243" s="128" t="s">
        <v>32</v>
      </c>
      <c r="D243" s="128" t="s">
        <v>1037</v>
      </c>
      <c r="E243" s="1545">
        <v>142</v>
      </c>
      <c r="F243" s="1545">
        <v>24</v>
      </c>
      <c r="G243" s="1546">
        <f t="shared" si="19"/>
        <v>16.901408450704224</v>
      </c>
      <c r="H243" s="1545">
        <v>59000</v>
      </c>
      <c r="I243" s="1547">
        <v>27500</v>
      </c>
      <c r="J243" s="1546">
        <f t="shared" si="20"/>
        <v>46.610169491525419</v>
      </c>
    </row>
    <row r="244" spans="1:10" ht="25.5" x14ac:dyDescent="0.2">
      <c r="A244" s="2352"/>
      <c r="B244" s="1272" t="s">
        <v>2652</v>
      </c>
      <c r="C244" s="128" t="s">
        <v>32</v>
      </c>
      <c r="D244" s="128" t="s">
        <v>1037</v>
      </c>
      <c r="E244" s="1545">
        <v>0</v>
      </c>
      <c r="F244" s="1545">
        <v>0</v>
      </c>
      <c r="G244" s="1546"/>
      <c r="H244" s="1545">
        <v>0</v>
      </c>
      <c r="I244" s="1547">
        <v>0</v>
      </c>
      <c r="J244" s="1546"/>
    </row>
    <row r="245" spans="1:10" ht="25.5" x14ac:dyDescent="0.2">
      <c r="A245" s="2352"/>
      <c r="B245" s="1272" t="s">
        <v>2653</v>
      </c>
      <c r="C245" s="128" t="s">
        <v>32</v>
      </c>
      <c r="D245" s="128" t="s">
        <v>75</v>
      </c>
      <c r="E245" s="1545">
        <v>3</v>
      </c>
      <c r="F245" s="1545">
        <v>1.4</v>
      </c>
      <c r="G245" s="1546">
        <f t="shared" si="19"/>
        <v>46.666666666666664</v>
      </c>
      <c r="H245" s="1545">
        <v>118807</v>
      </c>
      <c r="I245" s="1547">
        <v>51943.72</v>
      </c>
      <c r="J245" s="1546">
        <f t="shared" si="20"/>
        <v>43.721093874940031</v>
      </c>
    </row>
    <row r="246" spans="1:10" ht="18.75" customHeight="1" x14ac:dyDescent="0.2">
      <c r="A246" s="2352"/>
      <c r="B246" s="1272" t="s">
        <v>2654</v>
      </c>
      <c r="C246" s="128" t="s">
        <v>32</v>
      </c>
      <c r="D246" s="128" t="s">
        <v>38</v>
      </c>
      <c r="E246" s="1545">
        <v>170</v>
      </c>
      <c r="F246" s="1545">
        <v>25</v>
      </c>
      <c r="G246" s="1546">
        <f t="shared" si="19"/>
        <v>14.705882352941178</v>
      </c>
      <c r="H246" s="1545">
        <v>28000</v>
      </c>
      <c r="I246" s="1547">
        <v>5000</v>
      </c>
      <c r="J246" s="1546">
        <f t="shared" si="20"/>
        <v>17.857142857142858</v>
      </c>
    </row>
    <row r="247" spans="1:10" ht="25.5" x14ac:dyDescent="0.2">
      <c r="A247" s="2352"/>
      <c r="B247" s="1272" t="s">
        <v>2655</v>
      </c>
      <c r="C247" s="128" t="s">
        <v>32</v>
      </c>
      <c r="D247" s="128" t="s">
        <v>92</v>
      </c>
      <c r="E247" s="1545">
        <v>6187</v>
      </c>
      <c r="F247" s="1545">
        <v>1101</v>
      </c>
      <c r="G247" s="1546">
        <f t="shared" si="19"/>
        <v>17.795377404234685</v>
      </c>
      <c r="H247" s="1545">
        <v>2074428</v>
      </c>
      <c r="I247" s="1547">
        <v>704088.43</v>
      </c>
      <c r="J247" s="1546">
        <f t="shared" si="20"/>
        <v>33.941328886806389</v>
      </c>
    </row>
    <row r="248" spans="1:10" ht="25.5" x14ac:dyDescent="0.2">
      <c r="A248" s="2352"/>
      <c r="B248" s="1272" t="s">
        <v>2656</v>
      </c>
      <c r="C248" s="128" t="s">
        <v>32</v>
      </c>
      <c r="D248" s="128" t="s">
        <v>92</v>
      </c>
      <c r="E248" s="1545">
        <v>3974</v>
      </c>
      <c r="F248" s="1545">
        <v>4585</v>
      </c>
      <c r="G248" s="1546">
        <f t="shared" si="19"/>
        <v>115.37493709109211</v>
      </c>
      <c r="H248" s="1545">
        <v>2112627</v>
      </c>
      <c r="I248" s="1547">
        <v>577802.92000000004</v>
      </c>
      <c r="J248" s="1546">
        <f t="shared" si="20"/>
        <v>27.349973279712891</v>
      </c>
    </row>
    <row r="249" spans="1:10" ht="18.75" customHeight="1" x14ac:dyDescent="0.2">
      <c r="A249" s="2353" t="s">
        <v>451</v>
      </c>
      <c r="B249" s="1560" t="s">
        <v>2657</v>
      </c>
      <c r="C249" s="681"/>
      <c r="D249" s="681"/>
      <c r="E249" s="1553"/>
      <c r="F249" s="1553"/>
      <c r="G249" s="1546"/>
      <c r="H249" s="1555">
        <v>463084</v>
      </c>
      <c r="I249" s="1553">
        <v>116391.37000000001</v>
      </c>
      <c r="J249" s="1554">
        <f t="shared" si="20"/>
        <v>25.133964896217538</v>
      </c>
    </row>
    <row r="250" spans="1:10" ht="25.5" x14ac:dyDescent="0.2">
      <c r="A250" s="2353"/>
      <c r="B250" s="1272" t="s">
        <v>2658</v>
      </c>
      <c r="C250" s="128" t="s">
        <v>32</v>
      </c>
      <c r="D250" s="128" t="s">
        <v>75</v>
      </c>
      <c r="E250" s="1545">
        <v>6</v>
      </c>
      <c r="F250" s="1545">
        <v>3</v>
      </c>
      <c r="G250" s="1546">
        <f t="shared" si="19"/>
        <v>50</v>
      </c>
      <c r="H250" s="1545">
        <v>43247</v>
      </c>
      <c r="I250" s="1547">
        <v>21514</v>
      </c>
      <c r="J250" s="1546">
        <f t="shared" si="20"/>
        <v>49.746803246467962</v>
      </c>
    </row>
    <row r="251" spans="1:10" ht="25.5" x14ac:dyDescent="0.2">
      <c r="A251" s="2353"/>
      <c r="B251" s="1272" t="s">
        <v>2659</v>
      </c>
      <c r="C251" s="128" t="s">
        <v>32</v>
      </c>
      <c r="D251" s="128" t="s">
        <v>92</v>
      </c>
      <c r="E251" s="1545">
        <v>430</v>
      </c>
      <c r="F251" s="1545">
        <v>113</v>
      </c>
      <c r="G251" s="1546">
        <f t="shared" si="19"/>
        <v>26.279069767441861</v>
      </c>
      <c r="H251" s="1545">
        <v>346797</v>
      </c>
      <c r="I251" s="1547">
        <v>68875.570000000007</v>
      </c>
      <c r="J251" s="1546">
        <f t="shared" si="20"/>
        <v>19.860486105704492</v>
      </c>
    </row>
    <row r="252" spans="1:10" ht="18.75" customHeight="1" x14ac:dyDescent="0.2">
      <c r="A252" s="1526"/>
      <c r="B252" s="1272" t="s">
        <v>2660</v>
      </c>
      <c r="C252" s="128" t="s">
        <v>32</v>
      </c>
      <c r="D252" s="128" t="s">
        <v>2706</v>
      </c>
      <c r="E252" s="1545">
        <v>210</v>
      </c>
      <c r="F252" s="1545">
        <v>140</v>
      </c>
      <c r="G252" s="1546">
        <f t="shared" si="19"/>
        <v>66.666666666666657</v>
      </c>
      <c r="H252" s="1545">
        <v>73040</v>
      </c>
      <c r="I252" s="1547">
        <v>26001.8</v>
      </c>
      <c r="J252" s="1546">
        <f t="shared" si="20"/>
        <v>35.599397590361441</v>
      </c>
    </row>
    <row r="253" spans="1:10" ht="18.75" customHeight="1" x14ac:dyDescent="0.2">
      <c r="A253" s="2352">
        <v>10</v>
      </c>
      <c r="B253" s="1560" t="s">
        <v>1038</v>
      </c>
      <c r="C253" s="681"/>
      <c r="D253" s="681"/>
      <c r="E253" s="1553"/>
      <c r="F253" s="1553"/>
      <c r="G253" s="1546"/>
      <c r="H253" s="1555">
        <v>951483</v>
      </c>
      <c r="I253" s="1553">
        <v>342749.64</v>
      </c>
      <c r="J253" s="1554">
        <f t="shared" si="20"/>
        <v>36.022676180236537</v>
      </c>
    </row>
    <row r="254" spans="1:10" ht="25.5" x14ac:dyDescent="0.2">
      <c r="A254" s="2352"/>
      <c r="B254" s="1272" t="s">
        <v>2661</v>
      </c>
      <c r="C254" s="128" t="s">
        <v>32</v>
      </c>
      <c r="D254" s="128" t="s">
        <v>75</v>
      </c>
      <c r="E254" s="1545">
        <v>30</v>
      </c>
      <c r="F254" s="1545">
        <v>12</v>
      </c>
      <c r="G254" s="1546">
        <f t="shared" si="19"/>
        <v>40</v>
      </c>
      <c r="H254" s="1545">
        <v>121439</v>
      </c>
      <c r="I254" s="1547">
        <v>40765.18</v>
      </c>
      <c r="J254" s="1546">
        <f t="shared" si="20"/>
        <v>33.56844176911865</v>
      </c>
    </row>
    <row r="255" spans="1:10" ht="25.5" x14ac:dyDescent="0.2">
      <c r="A255" s="2352"/>
      <c r="B255" s="1272" t="s">
        <v>2662</v>
      </c>
      <c r="C255" s="128" t="s">
        <v>32</v>
      </c>
      <c r="D255" s="128" t="s">
        <v>1007</v>
      </c>
      <c r="E255" s="1545">
        <v>1</v>
      </c>
      <c r="F255" s="1547">
        <v>0.7</v>
      </c>
      <c r="G255" s="1546">
        <f t="shared" si="19"/>
        <v>70</v>
      </c>
      <c r="H255" s="1545">
        <v>5790</v>
      </c>
      <c r="I255" s="1547">
        <v>4100</v>
      </c>
      <c r="J255" s="1546">
        <f t="shared" si="20"/>
        <v>70.811744386873926</v>
      </c>
    </row>
    <row r="256" spans="1:10" ht="25.5" x14ac:dyDescent="0.2">
      <c r="A256" s="2352"/>
      <c r="B256" s="1272" t="s">
        <v>2663</v>
      </c>
      <c r="C256" s="128" t="s">
        <v>32</v>
      </c>
      <c r="D256" s="128" t="s">
        <v>1033</v>
      </c>
      <c r="E256" s="1545">
        <v>245338</v>
      </c>
      <c r="F256" s="1545">
        <v>307083.8</v>
      </c>
      <c r="G256" s="1546">
        <f t="shared" si="19"/>
        <v>125.16764626759817</v>
      </c>
      <c r="H256" s="1545">
        <v>610444</v>
      </c>
      <c r="I256" s="1547">
        <v>194796.88</v>
      </c>
      <c r="J256" s="1546">
        <f t="shared" si="20"/>
        <v>31.910687958272995</v>
      </c>
    </row>
    <row r="257" spans="1:10" ht="25.5" x14ac:dyDescent="0.2">
      <c r="A257" s="2352"/>
      <c r="B257" s="1272" t="s">
        <v>2664</v>
      </c>
      <c r="C257" s="128" t="s">
        <v>32</v>
      </c>
      <c r="D257" s="128" t="s">
        <v>1027</v>
      </c>
      <c r="E257" s="1545">
        <v>2689</v>
      </c>
      <c r="F257" s="1545">
        <v>1550</v>
      </c>
      <c r="G257" s="1546">
        <f t="shared" si="19"/>
        <v>57.642246188174042</v>
      </c>
      <c r="H257" s="1545">
        <v>5333</v>
      </c>
      <c r="I257" s="1547">
        <v>1500</v>
      </c>
      <c r="J257" s="1546">
        <f t="shared" si="20"/>
        <v>28.12675792237015</v>
      </c>
    </row>
    <row r="258" spans="1:10" ht="25.5" x14ac:dyDescent="0.2">
      <c r="A258" s="2352"/>
      <c r="B258" s="1272" t="s">
        <v>2665</v>
      </c>
      <c r="C258" s="128" t="s">
        <v>32</v>
      </c>
      <c r="D258" s="128" t="s">
        <v>1027</v>
      </c>
      <c r="E258" s="1545">
        <v>194</v>
      </c>
      <c r="F258" s="1545">
        <v>218</v>
      </c>
      <c r="G258" s="1546">
        <f t="shared" si="19"/>
        <v>112.37113402061856</v>
      </c>
      <c r="H258" s="1545">
        <v>72184</v>
      </c>
      <c r="I258" s="1547">
        <v>40439.440000000002</v>
      </c>
      <c r="J258" s="1546">
        <f t="shared" si="20"/>
        <v>56.022719716280619</v>
      </c>
    </row>
    <row r="259" spans="1:10" ht="25.5" x14ac:dyDescent="0.2">
      <c r="A259" s="2352"/>
      <c r="B259" s="1272" t="s">
        <v>2666</v>
      </c>
      <c r="C259" s="128" t="s">
        <v>32</v>
      </c>
      <c r="D259" s="128" t="s">
        <v>1028</v>
      </c>
      <c r="E259" s="1545">
        <v>1732</v>
      </c>
      <c r="F259" s="1545">
        <v>83</v>
      </c>
      <c r="G259" s="1546">
        <f t="shared" si="19"/>
        <v>4.7921478060046185</v>
      </c>
      <c r="H259" s="1545">
        <v>91649</v>
      </c>
      <c r="I259" s="1547">
        <v>42229.399999999994</v>
      </c>
      <c r="J259" s="1546">
        <f t="shared" si="20"/>
        <v>46.077316719222246</v>
      </c>
    </row>
    <row r="260" spans="1:10" ht="36.75" customHeight="1" x14ac:dyDescent="0.2">
      <c r="A260" s="2352"/>
      <c r="B260" s="1272" t="s">
        <v>2667</v>
      </c>
      <c r="C260" s="128" t="s">
        <v>32</v>
      </c>
      <c r="D260" s="128" t="s">
        <v>1028</v>
      </c>
      <c r="E260" s="1545">
        <v>271</v>
      </c>
      <c r="F260" s="1545">
        <v>71</v>
      </c>
      <c r="G260" s="1546">
        <f t="shared" si="19"/>
        <v>26.199261992619927</v>
      </c>
      <c r="H260" s="1545">
        <v>44644</v>
      </c>
      <c r="I260" s="1547">
        <v>18918.740000000002</v>
      </c>
      <c r="J260" s="1546">
        <f t="shared" si="20"/>
        <v>42.376892751545562</v>
      </c>
    </row>
    <row r="261" spans="1:10" ht="18.75" customHeight="1" x14ac:dyDescent="0.2">
      <c r="A261" s="2352">
        <v>11</v>
      </c>
      <c r="B261" s="1560" t="s">
        <v>1039</v>
      </c>
      <c r="C261" s="681"/>
      <c r="D261" s="681"/>
      <c r="E261" s="1553"/>
      <c r="F261" s="1553"/>
      <c r="G261" s="1546"/>
      <c r="H261" s="1555">
        <v>28233075</v>
      </c>
      <c r="I261" s="1553">
        <v>13204058.58</v>
      </c>
      <c r="J261" s="1546">
        <f t="shared" si="20"/>
        <v>46.768049813915063</v>
      </c>
    </row>
    <row r="262" spans="1:10" ht="18.75" customHeight="1" x14ac:dyDescent="0.2">
      <c r="A262" s="2352"/>
      <c r="B262" s="1272" t="s">
        <v>2668</v>
      </c>
      <c r="C262" s="128" t="s">
        <v>32</v>
      </c>
      <c r="D262" s="128" t="s">
        <v>41</v>
      </c>
      <c r="E262" s="1545">
        <v>2612</v>
      </c>
      <c r="F262" s="1545">
        <v>62</v>
      </c>
      <c r="G262" s="1546">
        <f t="shared" si="19"/>
        <v>2.3736600306278715</v>
      </c>
      <c r="H262" s="1545">
        <v>560613</v>
      </c>
      <c r="I262" s="1547">
        <v>265151.81</v>
      </c>
      <c r="J262" s="1546">
        <f t="shared" si="20"/>
        <v>47.296764434645645</v>
      </c>
    </row>
    <row r="263" spans="1:10" ht="18.75" customHeight="1" x14ac:dyDescent="0.2">
      <c r="A263" s="2352"/>
      <c r="B263" s="1272" t="s">
        <v>2669</v>
      </c>
      <c r="C263" s="128" t="s">
        <v>32</v>
      </c>
      <c r="D263" s="128" t="s">
        <v>75</v>
      </c>
      <c r="E263" s="1545">
        <v>36</v>
      </c>
      <c r="F263" s="1547">
        <v>0.12</v>
      </c>
      <c r="G263" s="1546">
        <f t="shared" si="19"/>
        <v>0.33333333333333331</v>
      </c>
      <c r="H263" s="1545">
        <v>20280</v>
      </c>
      <c r="I263" s="1547">
        <v>2500</v>
      </c>
      <c r="J263" s="1546">
        <f t="shared" si="20"/>
        <v>12.32741617357002</v>
      </c>
    </row>
    <row r="264" spans="1:10" ht="18.75" customHeight="1" x14ac:dyDescent="0.2">
      <c r="A264" s="2352"/>
      <c r="B264" s="1272" t="s">
        <v>2670</v>
      </c>
      <c r="C264" s="128" t="s">
        <v>32</v>
      </c>
      <c r="D264" s="128" t="s">
        <v>75</v>
      </c>
      <c r="E264" s="1545">
        <v>12</v>
      </c>
      <c r="F264" s="1545">
        <v>6</v>
      </c>
      <c r="G264" s="1546">
        <f t="shared" si="19"/>
        <v>50</v>
      </c>
      <c r="H264" s="1545">
        <v>560613</v>
      </c>
      <c r="I264" s="1547">
        <v>300181</v>
      </c>
      <c r="J264" s="1546">
        <f t="shared" si="20"/>
        <v>53.545137198031448</v>
      </c>
    </row>
    <row r="265" spans="1:10" ht="18.75" customHeight="1" x14ac:dyDescent="0.2">
      <c r="A265" s="2352"/>
      <c r="B265" s="1272" t="s">
        <v>2671</v>
      </c>
      <c r="C265" s="128" t="s">
        <v>32</v>
      </c>
      <c r="D265" s="128" t="s">
        <v>75</v>
      </c>
      <c r="E265" s="1545">
        <v>625</v>
      </c>
      <c r="F265" s="1545">
        <v>713</v>
      </c>
      <c r="G265" s="1546">
        <f t="shared" si="19"/>
        <v>114.08</v>
      </c>
      <c r="H265" s="1545">
        <v>24869624</v>
      </c>
      <c r="I265" s="1547">
        <v>12341669.899999999</v>
      </c>
      <c r="J265" s="1546">
        <f t="shared" si="20"/>
        <v>49.625478455162806</v>
      </c>
    </row>
    <row r="266" spans="1:10" ht="18.75" customHeight="1" x14ac:dyDescent="0.2">
      <c r="A266" s="2352"/>
      <c r="B266" s="1272" t="s">
        <v>2672</v>
      </c>
      <c r="C266" s="128" t="s">
        <v>32</v>
      </c>
      <c r="D266" s="128" t="s">
        <v>75</v>
      </c>
      <c r="E266" s="1545">
        <v>1</v>
      </c>
      <c r="F266" s="1547">
        <v>0.28999999999999998</v>
      </c>
      <c r="G266" s="1546">
        <f t="shared" si="19"/>
        <v>28.999999999999996</v>
      </c>
      <c r="H266" s="1545">
        <v>134720</v>
      </c>
      <c r="I266" s="1547">
        <v>38965</v>
      </c>
      <c r="J266" s="1546">
        <f t="shared" si="20"/>
        <v>28.922951306413303</v>
      </c>
    </row>
    <row r="267" spans="1:10" ht="18.75" customHeight="1" x14ac:dyDescent="0.2">
      <c r="A267" s="2352"/>
      <c r="B267" s="1272" t="s">
        <v>2673</v>
      </c>
      <c r="C267" s="128" t="s">
        <v>32</v>
      </c>
      <c r="D267" s="128" t="s">
        <v>41</v>
      </c>
      <c r="E267" s="1545">
        <v>1821</v>
      </c>
      <c r="F267" s="1545">
        <v>739</v>
      </c>
      <c r="G267" s="1546">
        <f t="shared" si="19"/>
        <v>40.582097748489844</v>
      </c>
      <c r="H267" s="1545">
        <v>1955506</v>
      </c>
      <c r="I267" s="1547">
        <v>186783.24</v>
      </c>
      <c r="J267" s="1546">
        <f t="shared" si="20"/>
        <v>9.5516577295083724</v>
      </c>
    </row>
    <row r="268" spans="1:10" ht="18.75" customHeight="1" x14ac:dyDescent="0.2">
      <c r="A268" s="1318"/>
      <c r="B268" s="1272" t="s">
        <v>2674</v>
      </c>
      <c r="C268" s="128" t="s">
        <v>32</v>
      </c>
      <c r="D268" s="128" t="s">
        <v>75</v>
      </c>
      <c r="E268" s="1545">
        <v>156</v>
      </c>
      <c r="F268" s="1545">
        <v>52</v>
      </c>
      <c r="G268" s="1546">
        <f t="shared" si="19"/>
        <v>33.333333333333329</v>
      </c>
      <c r="H268" s="1545">
        <v>131719</v>
      </c>
      <c r="I268" s="1547">
        <v>68807.63</v>
      </c>
      <c r="J268" s="1546">
        <f t="shared" si="20"/>
        <v>52.238196463684062</v>
      </c>
    </row>
    <row r="269" spans="1:10" ht="18.75" customHeight="1" x14ac:dyDescent="0.2">
      <c r="A269" s="2354">
        <v>12</v>
      </c>
      <c r="B269" s="1560" t="s">
        <v>2304</v>
      </c>
      <c r="C269" s="1559"/>
      <c r="D269" s="1559"/>
      <c r="E269" s="1555"/>
      <c r="F269" s="1553"/>
      <c r="G269" s="1554"/>
      <c r="H269" s="1555">
        <v>33751013</v>
      </c>
      <c r="I269" s="1553">
        <v>10026949.119999999</v>
      </c>
      <c r="J269" s="1554">
        <f t="shared" si="20"/>
        <v>29.708587176331562</v>
      </c>
    </row>
    <row r="270" spans="1:10" ht="18.75" customHeight="1" x14ac:dyDescent="0.2">
      <c r="A270" s="2354"/>
      <c r="B270" s="1272" t="s">
        <v>2675</v>
      </c>
      <c r="C270" s="128" t="s">
        <v>32</v>
      </c>
      <c r="D270" s="128" t="s">
        <v>2705</v>
      </c>
      <c r="E270" s="1545">
        <v>157300</v>
      </c>
      <c r="F270" s="1545">
        <v>69888</v>
      </c>
      <c r="G270" s="1546">
        <f t="shared" si="19"/>
        <v>44.429752066115704</v>
      </c>
      <c r="H270" s="1545">
        <v>25300</v>
      </c>
      <c r="I270" s="1547">
        <v>5500</v>
      </c>
      <c r="J270" s="1546">
        <f t="shared" si="20"/>
        <v>21.739130434782609</v>
      </c>
    </row>
    <row r="271" spans="1:10" ht="18.75" customHeight="1" x14ac:dyDescent="0.2">
      <c r="A271" s="2354"/>
      <c r="B271" s="1272" t="s">
        <v>2676</v>
      </c>
      <c r="C271" s="128" t="s">
        <v>32</v>
      </c>
      <c r="D271" s="128" t="s">
        <v>2705</v>
      </c>
      <c r="E271" s="1545">
        <v>30800</v>
      </c>
      <c r="F271" s="1545">
        <v>11000</v>
      </c>
      <c r="G271" s="1546">
        <f t="shared" si="19"/>
        <v>35.714285714285715</v>
      </c>
      <c r="H271" s="1545">
        <v>496735</v>
      </c>
      <c r="I271" s="1547">
        <v>90875</v>
      </c>
      <c r="J271" s="1546">
        <f t="shared" si="20"/>
        <v>18.294462842360616</v>
      </c>
    </row>
    <row r="272" spans="1:10" ht="18" customHeight="1" x14ac:dyDescent="0.2">
      <c r="A272" s="2354"/>
      <c r="B272" s="1272" t="s">
        <v>2677</v>
      </c>
      <c r="C272" s="128" t="s">
        <v>32</v>
      </c>
      <c r="D272" s="128" t="s">
        <v>41</v>
      </c>
      <c r="E272" s="1545">
        <v>4673</v>
      </c>
      <c r="F272" s="1545">
        <v>1029</v>
      </c>
      <c r="G272" s="1546">
        <f t="shared" si="19"/>
        <v>22.020115557457736</v>
      </c>
      <c r="H272" s="1545">
        <v>4189806</v>
      </c>
      <c r="I272" s="1547">
        <v>1356008.67</v>
      </c>
      <c r="J272" s="1546">
        <f t="shared" si="20"/>
        <v>32.364473915976063</v>
      </c>
    </row>
    <row r="273" spans="1:10" ht="18.75" customHeight="1" x14ac:dyDescent="0.2">
      <c r="A273" s="2354"/>
      <c r="B273" s="1272" t="s">
        <v>2678</v>
      </c>
      <c r="C273" s="128" t="s">
        <v>32</v>
      </c>
      <c r="D273" s="128" t="s">
        <v>92</v>
      </c>
      <c r="E273" s="1545">
        <v>63</v>
      </c>
      <c r="F273" s="1545">
        <v>22</v>
      </c>
      <c r="G273" s="1546">
        <f t="shared" si="19"/>
        <v>34.920634920634917</v>
      </c>
      <c r="H273" s="1545">
        <v>967875</v>
      </c>
      <c r="I273" s="1547">
        <v>273639</v>
      </c>
      <c r="J273" s="1546">
        <f t="shared" si="20"/>
        <v>28.272142580395194</v>
      </c>
    </row>
    <row r="274" spans="1:10" ht="25.5" customHeight="1" x14ac:dyDescent="0.2">
      <c r="A274" s="2354"/>
      <c r="B274" s="1272" t="s">
        <v>2679</v>
      </c>
      <c r="C274" s="128" t="s">
        <v>32</v>
      </c>
      <c r="D274" s="128" t="s">
        <v>1036</v>
      </c>
      <c r="E274" s="1545">
        <v>396015</v>
      </c>
      <c r="F274" s="1545">
        <v>3</v>
      </c>
      <c r="G274" s="1546">
        <f t="shared" si="19"/>
        <v>7.5754706261126471E-4</v>
      </c>
      <c r="H274" s="1545">
        <v>649344</v>
      </c>
      <c r="I274" s="1547">
        <v>271727.37</v>
      </c>
      <c r="J274" s="1546">
        <f t="shared" si="20"/>
        <v>41.846443487581311</v>
      </c>
    </row>
    <row r="275" spans="1:10" ht="15.75" customHeight="1" x14ac:dyDescent="0.2">
      <c r="A275" s="2354"/>
      <c r="B275" s="1272" t="s">
        <v>2680</v>
      </c>
      <c r="C275" s="128" t="s">
        <v>32</v>
      </c>
      <c r="D275" s="128" t="s">
        <v>395</v>
      </c>
      <c r="E275" s="1545">
        <v>300</v>
      </c>
      <c r="F275" s="1545">
        <v>150</v>
      </c>
      <c r="G275" s="1546">
        <f t="shared" si="19"/>
        <v>50</v>
      </c>
      <c r="H275" s="1545">
        <v>159500</v>
      </c>
      <c r="I275" s="1547">
        <v>85275.92</v>
      </c>
      <c r="J275" s="1546">
        <f t="shared" si="20"/>
        <v>53.464526645768032</v>
      </c>
    </row>
    <row r="276" spans="1:10" ht="25.5" x14ac:dyDescent="0.2">
      <c r="A276" s="2354"/>
      <c r="B276" s="1272" t="s">
        <v>2681</v>
      </c>
      <c r="C276" s="128" t="s">
        <v>32</v>
      </c>
      <c r="D276" s="128" t="s">
        <v>1028</v>
      </c>
      <c r="E276" s="1545">
        <v>21302</v>
      </c>
      <c r="F276" s="1545">
        <v>82</v>
      </c>
      <c r="G276" s="1546">
        <f t="shared" si="19"/>
        <v>0.38494038118486529</v>
      </c>
      <c r="H276" s="1545">
        <v>13737627</v>
      </c>
      <c r="I276" s="1547">
        <v>2858570.2</v>
      </c>
      <c r="J276" s="1546">
        <f t="shared" si="20"/>
        <v>20.808325921208954</v>
      </c>
    </row>
    <row r="277" spans="1:10" ht="18.75" customHeight="1" x14ac:dyDescent="0.2">
      <c r="A277" s="2354"/>
      <c r="B277" s="1272" t="s">
        <v>2682</v>
      </c>
      <c r="C277" s="128" t="s">
        <v>32</v>
      </c>
      <c r="D277" s="128" t="s">
        <v>92</v>
      </c>
      <c r="E277" s="1545">
        <v>500</v>
      </c>
      <c r="F277" s="1545">
        <v>260</v>
      </c>
      <c r="G277" s="1546">
        <f t="shared" si="19"/>
        <v>52</v>
      </c>
      <c r="H277" s="1545">
        <v>568983</v>
      </c>
      <c r="I277" s="1547">
        <v>203984.78</v>
      </c>
      <c r="J277" s="1546">
        <f t="shared" si="20"/>
        <v>35.850768827891166</v>
      </c>
    </row>
    <row r="278" spans="1:10" ht="18.75" customHeight="1" x14ac:dyDescent="0.2">
      <c r="A278" s="2354"/>
      <c r="B278" s="1272" t="s">
        <v>2683</v>
      </c>
      <c r="C278" s="128" t="s">
        <v>32</v>
      </c>
      <c r="D278" s="128" t="s">
        <v>92</v>
      </c>
      <c r="E278" s="1545">
        <v>232577</v>
      </c>
      <c r="F278" s="1545">
        <v>11744</v>
      </c>
      <c r="G278" s="1546">
        <f t="shared" si="19"/>
        <v>5.0495104846996908</v>
      </c>
      <c r="H278" s="1545">
        <v>793088</v>
      </c>
      <c r="I278" s="1547">
        <v>108796.25</v>
      </c>
      <c r="J278" s="1546">
        <f t="shared" si="20"/>
        <v>13.718055247336991</v>
      </c>
    </row>
    <row r="279" spans="1:10" ht="25.5" x14ac:dyDescent="0.2">
      <c r="A279" s="2354"/>
      <c r="B279" s="1272" t="s">
        <v>2684</v>
      </c>
      <c r="C279" s="128" t="s">
        <v>32</v>
      </c>
      <c r="D279" s="128" t="s">
        <v>1037</v>
      </c>
      <c r="E279" s="1545">
        <v>3168</v>
      </c>
      <c r="F279" s="1545">
        <v>1268</v>
      </c>
      <c r="G279" s="1546">
        <f t="shared" si="19"/>
        <v>40.025252525252526</v>
      </c>
      <c r="H279" s="1545">
        <v>258241</v>
      </c>
      <c r="I279" s="1547">
        <v>99220.989999999991</v>
      </c>
      <c r="J279" s="1546">
        <f t="shared" si="20"/>
        <v>38.421857876944401</v>
      </c>
    </row>
    <row r="280" spans="1:10" ht="21.75" customHeight="1" x14ac:dyDescent="0.2">
      <c r="A280" s="2354"/>
      <c r="B280" s="1272" t="s">
        <v>2685</v>
      </c>
      <c r="C280" s="128" t="s">
        <v>32</v>
      </c>
      <c r="D280" s="128" t="s">
        <v>92</v>
      </c>
      <c r="E280" s="1545">
        <v>1410</v>
      </c>
      <c r="F280" s="1545">
        <v>1300</v>
      </c>
      <c r="G280" s="1546">
        <f t="shared" si="19"/>
        <v>92.198581560283685</v>
      </c>
      <c r="H280" s="1545">
        <v>5820</v>
      </c>
      <c r="I280" s="1547">
        <v>5221.16</v>
      </c>
      <c r="J280" s="1546">
        <f t="shared" si="20"/>
        <v>89.710652920962204</v>
      </c>
    </row>
    <row r="281" spans="1:10" ht="18.75" customHeight="1" x14ac:dyDescent="0.2">
      <c r="A281" s="2354"/>
      <c r="B281" s="1272" t="s">
        <v>2686</v>
      </c>
      <c r="C281" s="128" t="s">
        <v>32</v>
      </c>
      <c r="D281" s="128" t="s">
        <v>1041</v>
      </c>
      <c r="E281" s="1545">
        <v>22260</v>
      </c>
      <c r="F281" s="1545">
        <v>17861</v>
      </c>
      <c r="G281" s="1546">
        <f t="shared" si="19"/>
        <v>80.238095238095241</v>
      </c>
      <c r="H281" s="1545">
        <v>73156</v>
      </c>
      <c r="I281" s="1547">
        <v>41183.360000000001</v>
      </c>
      <c r="J281" s="1546">
        <f t="shared" si="20"/>
        <v>56.295259445568377</v>
      </c>
    </row>
    <row r="282" spans="1:10" ht="17.25" customHeight="1" x14ac:dyDescent="0.2">
      <c r="A282" s="2354"/>
      <c r="B282" s="1272" t="s">
        <v>2687</v>
      </c>
      <c r="C282" s="128" t="s">
        <v>32</v>
      </c>
      <c r="D282" s="128" t="s">
        <v>92</v>
      </c>
      <c r="E282" s="1545">
        <v>11340</v>
      </c>
      <c r="F282" s="1545">
        <v>0</v>
      </c>
      <c r="G282" s="1546">
        <f t="shared" si="19"/>
        <v>0</v>
      </c>
      <c r="H282" s="1545">
        <v>20000</v>
      </c>
      <c r="I282" s="1547">
        <v>0</v>
      </c>
      <c r="J282" s="1546">
        <f t="shared" si="20"/>
        <v>0</v>
      </c>
    </row>
    <row r="283" spans="1:10" ht="17.25" customHeight="1" x14ac:dyDescent="0.2">
      <c r="A283" s="2354"/>
      <c r="B283" s="1272" t="s">
        <v>2688</v>
      </c>
      <c r="C283" s="128" t="s">
        <v>32</v>
      </c>
      <c r="D283" s="128" t="s">
        <v>41</v>
      </c>
      <c r="E283" s="1545">
        <v>1400</v>
      </c>
      <c r="F283" s="1545">
        <v>210</v>
      </c>
      <c r="G283" s="1546">
        <f t="shared" si="19"/>
        <v>15</v>
      </c>
      <c r="H283" s="1545">
        <v>2548</v>
      </c>
      <c r="I283" s="1547">
        <v>540</v>
      </c>
      <c r="J283" s="1546">
        <f t="shared" si="20"/>
        <v>21.19309262166405</v>
      </c>
    </row>
    <row r="284" spans="1:10" ht="18.75" customHeight="1" x14ac:dyDescent="0.2">
      <c r="A284" s="2354"/>
      <c r="B284" s="1272" t="s">
        <v>2689</v>
      </c>
      <c r="C284" s="128" t="s">
        <v>32</v>
      </c>
      <c r="D284" s="128" t="s">
        <v>75</v>
      </c>
      <c r="E284" s="1545">
        <v>120</v>
      </c>
      <c r="F284" s="1545">
        <v>22</v>
      </c>
      <c r="G284" s="1546">
        <f t="shared" si="19"/>
        <v>18.333333333333332</v>
      </c>
      <c r="H284" s="1545">
        <v>92241</v>
      </c>
      <c r="I284" s="1547">
        <v>11203</v>
      </c>
      <c r="J284" s="1546">
        <f t="shared" si="20"/>
        <v>12.145358354744637</v>
      </c>
    </row>
    <row r="285" spans="1:10" ht="18.75" customHeight="1" x14ac:dyDescent="0.2">
      <c r="A285" s="2354"/>
      <c r="B285" s="1272" t="s">
        <v>2690</v>
      </c>
      <c r="C285" s="128" t="s">
        <v>32</v>
      </c>
      <c r="D285" s="128" t="s">
        <v>1757</v>
      </c>
      <c r="E285" s="1545">
        <v>4800</v>
      </c>
      <c r="F285" s="1545">
        <v>1841</v>
      </c>
      <c r="G285" s="1546">
        <f t="shared" si="19"/>
        <v>38.354166666666664</v>
      </c>
      <c r="H285" s="1545">
        <v>803946</v>
      </c>
      <c r="I285" s="1547">
        <v>287254.89</v>
      </c>
      <c r="J285" s="1546">
        <f t="shared" si="20"/>
        <v>35.730619967012714</v>
      </c>
    </row>
    <row r="286" spans="1:10" ht="18.75" customHeight="1" x14ac:dyDescent="0.2">
      <c r="A286" s="2354"/>
      <c r="B286" s="1272" t="s">
        <v>2691</v>
      </c>
      <c r="C286" s="128" t="s">
        <v>32</v>
      </c>
      <c r="D286" s="128" t="s">
        <v>55</v>
      </c>
      <c r="E286" s="1545">
        <v>62</v>
      </c>
      <c r="F286" s="1545">
        <v>27</v>
      </c>
      <c r="G286" s="1546">
        <f t="shared" ref="G286:G298" si="21">+F286/E286*100</f>
        <v>43.548387096774192</v>
      </c>
      <c r="H286" s="1545">
        <v>5337065</v>
      </c>
      <c r="I286" s="1547">
        <v>3062095.7900000005</v>
      </c>
      <c r="J286" s="1546">
        <f t="shared" ref="J286:J298" si="22">+I286/H286*100</f>
        <v>57.374152085462718</v>
      </c>
    </row>
    <row r="287" spans="1:10" ht="18.75" customHeight="1" x14ac:dyDescent="0.2">
      <c r="A287" s="2354"/>
      <c r="B287" s="1272" t="s">
        <v>2692</v>
      </c>
      <c r="C287" s="128" t="s">
        <v>32</v>
      </c>
      <c r="D287" s="128" t="s">
        <v>1042</v>
      </c>
      <c r="E287" s="1545">
        <v>12</v>
      </c>
      <c r="F287" s="1545">
        <v>4</v>
      </c>
      <c r="G287" s="1546">
        <f t="shared" si="21"/>
        <v>33.333333333333329</v>
      </c>
      <c r="H287" s="1545">
        <v>898906</v>
      </c>
      <c r="I287" s="1547">
        <v>280419.17</v>
      </c>
      <c r="J287" s="1546">
        <f t="shared" si="22"/>
        <v>31.195605547187355</v>
      </c>
    </row>
    <row r="288" spans="1:10" ht="14.25" customHeight="1" x14ac:dyDescent="0.2">
      <c r="A288" s="2354"/>
      <c r="B288" s="1272" t="s">
        <v>2693</v>
      </c>
      <c r="C288" s="128" t="s">
        <v>32</v>
      </c>
      <c r="D288" s="128" t="s">
        <v>1040</v>
      </c>
      <c r="E288" s="1545">
        <v>64</v>
      </c>
      <c r="F288" s="1545">
        <v>26</v>
      </c>
      <c r="G288" s="1546">
        <f t="shared" si="21"/>
        <v>40.625</v>
      </c>
      <c r="H288" s="1545">
        <v>219658</v>
      </c>
      <c r="I288" s="1547">
        <v>101154</v>
      </c>
      <c r="J288" s="1546">
        <f t="shared" si="22"/>
        <v>46.050678782470932</v>
      </c>
    </row>
    <row r="289" spans="1:10" ht="15.75" customHeight="1" x14ac:dyDescent="0.2">
      <c r="A289" s="2354"/>
      <c r="B289" s="1272" t="s">
        <v>2694</v>
      </c>
      <c r="C289" s="128" t="s">
        <v>32</v>
      </c>
      <c r="D289" s="128" t="s">
        <v>75</v>
      </c>
      <c r="E289" s="1545">
        <v>630</v>
      </c>
      <c r="F289" s="1545">
        <v>340</v>
      </c>
      <c r="G289" s="1546">
        <f t="shared" si="21"/>
        <v>53.968253968253968</v>
      </c>
      <c r="H289" s="1545">
        <v>66574</v>
      </c>
      <c r="I289" s="1547">
        <v>12837.01</v>
      </c>
      <c r="J289" s="1546">
        <f t="shared" si="22"/>
        <v>19.282317421215488</v>
      </c>
    </row>
    <row r="290" spans="1:10" ht="14.25" customHeight="1" x14ac:dyDescent="0.2">
      <c r="A290" s="2354"/>
      <c r="B290" s="1272" t="s">
        <v>2695</v>
      </c>
      <c r="C290" s="128" t="s">
        <v>32</v>
      </c>
      <c r="D290" s="128" t="s">
        <v>92</v>
      </c>
      <c r="E290" s="1545">
        <v>6161</v>
      </c>
      <c r="F290" s="1545">
        <v>4400</v>
      </c>
      <c r="G290" s="1546">
        <f t="shared" si="21"/>
        <v>71.416977763350104</v>
      </c>
      <c r="H290" s="1545">
        <v>198000</v>
      </c>
      <c r="I290" s="1547">
        <v>143503.75</v>
      </c>
      <c r="J290" s="1546">
        <f t="shared" si="22"/>
        <v>72.476641414141412</v>
      </c>
    </row>
    <row r="291" spans="1:10" ht="18.75" customHeight="1" x14ac:dyDescent="0.2">
      <c r="A291" s="2354"/>
      <c r="B291" s="1272" t="s">
        <v>2696</v>
      </c>
      <c r="C291" s="128" t="s">
        <v>32</v>
      </c>
      <c r="D291" s="128" t="s">
        <v>92</v>
      </c>
      <c r="E291" s="1545">
        <v>601800</v>
      </c>
      <c r="F291" s="1545">
        <v>226657</v>
      </c>
      <c r="G291" s="1546">
        <f t="shared" si="21"/>
        <v>37.663177135260881</v>
      </c>
      <c r="H291" s="1545">
        <v>621952</v>
      </c>
      <c r="I291" s="1547">
        <v>366852.51</v>
      </c>
      <c r="J291" s="1546">
        <f t="shared" si="22"/>
        <v>58.984055039617211</v>
      </c>
    </row>
    <row r="292" spans="1:10" ht="18.75" customHeight="1" x14ac:dyDescent="0.2">
      <c r="A292" s="2354"/>
      <c r="B292" s="1272" t="s">
        <v>2697</v>
      </c>
      <c r="C292" s="128" t="s">
        <v>32</v>
      </c>
      <c r="D292" s="128" t="s">
        <v>75</v>
      </c>
      <c r="E292" s="1545">
        <v>396015</v>
      </c>
      <c r="F292" s="1545">
        <v>3</v>
      </c>
      <c r="G292" s="1546">
        <f t="shared" si="21"/>
        <v>7.5754706261126471E-4</v>
      </c>
      <c r="H292" s="1545">
        <v>649344</v>
      </c>
      <c r="I292" s="1547">
        <v>271727.37</v>
      </c>
      <c r="J292" s="1546">
        <f t="shared" si="22"/>
        <v>41.846443487581311</v>
      </c>
    </row>
    <row r="293" spans="1:10" ht="18.75" customHeight="1" x14ac:dyDescent="0.2">
      <c r="A293" s="2354"/>
      <c r="B293" s="1272" t="s">
        <v>2698</v>
      </c>
      <c r="C293" s="128" t="s">
        <v>32</v>
      </c>
      <c r="D293" s="128" t="s">
        <v>99</v>
      </c>
      <c r="E293" s="1545">
        <v>14500</v>
      </c>
      <c r="F293" s="1545">
        <v>20123</v>
      </c>
      <c r="G293" s="1546">
        <f t="shared" si="21"/>
        <v>138.77931034482756</v>
      </c>
      <c r="H293" s="1545">
        <v>82895</v>
      </c>
      <c r="I293" s="1547">
        <v>11981.06</v>
      </c>
      <c r="J293" s="1546">
        <f t="shared" si="22"/>
        <v>14.453296338741781</v>
      </c>
    </row>
    <row r="294" spans="1:10" ht="18.75" customHeight="1" x14ac:dyDescent="0.2">
      <c r="A294" s="2354"/>
      <c r="B294" s="1272" t="s">
        <v>2699</v>
      </c>
      <c r="C294" s="128" t="s">
        <v>32</v>
      </c>
      <c r="D294" s="128" t="s">
        <v>1041</v>
      </c>
      <c r="E294" s="1545">
        <v>2108</v>
      </c>
      <c r="F294" s="1545">
        <v>4679</v>
      </c>
      <c r="G294" s="1546">
        <f t="shared" si="21"/>
        <v>221.96394686907021</v>
      </c>
      <c r="H294" s="1545">
        <v>7766</v>
      </c>
      <c r="I294" s="1547">
        <v>7762.86</v>
      </c>
      <c r="J294" s="1546">
        <f t="shared" si="22"/>
        <v>99.959567344836458</v>
      </c>
    </row>
    <row r="295" spans="1:10" ht="25.5" x14ac:dyDescent="0.2">
      <c r="A295" s="2354"/>
      <c r="B295" s="1272" t="s">
        <v>2700</v>
      </c>
      <c r="C295" s="128" t="s">
        <v>32</v>
      </c>
      <c r="D295" s="128" t="s">
        <v>2704</v>
      </c>
      <c r="E295" s="1545">
        <v>97106</v>
      </c>
      <c r="F295" s="1545">
        <v>52569</v>
      </c>
      <c r="G295" s="1546">
        <f t="shared" si="21"/>
        <v>54.135686775276504</v>
      </c>
      <c r="H295" s="1545">
        <v>42452</v>
      </c>
      <c r="I295" s="1547">
        <v>21534.01</v>
      </c>
      <c r="J295" s="1546">
        <f t="shared" si="22"/>
        <v>50.725548855177607</v>
      </c>
    </row>
    <row r="296" spans="1:10" ht="18.75" customHeight="1" x14ac:dyDescent="0.2">
      <c r="A296" s="2354"/>
      <c r="B296" s="1272" t="s">
        <v>2701</v>
      </c>
      <c r="C296" s="128" t="s">
        <v>32</v>
      </c>
      <c r="D296" s="128" t="s">
        <v>75</v>
      </c>
      <c r="E296" s="1545">
        <v>13</v>
      </c>
      <c r="F296" s="1545">
        <v>0</v>
      </c>
      <c r="G296" s="1546">
        <f t="shared" si="21"/>
        <v>0</v>
      </c>
      <c r="H296" s="1545">
        <v>2027591</v>
      </c>
      <c r="I296" s="1547">
        <v>0</v>
      </c>
      <c r="J296" s="1546">
        <f t="shared" si="22"/>
        <v>0</v>
      </c>
    </row>
    <row r="297" spans="1:10" ht="18.75" customHeight="1" x14ac:dyDescent="0.2">
      <c r="A297" s="2354"/>
      <c r="B297" s="1272" t="s">
        <v>2702</v>
      </c>
      <c r="C297" s="128" t="s">
        <v>32</v>
      </c>
      <c r="D297" s="128" t="s">
        <v>75</v>
      </c>
      <c r="E297" s="1545">
        <v>12</v>
      </c>
      <c r="F297" s="1545">
        <v>6</v>
      </c>
      <c r="G297" s="1546">
        <f t="shared" si="21"/>
        <v>50</v>
      </c>
      <c r="H297" s="1545">
        <v>135262</v>
      </c>
      <c r="I297" s="1547">
        <v>25169</v>
      </c>
      <c r="J297" s="1546">
        <f t="shared" si="22"/>
        <v>18.607591193387648</v>
      </c>
    </row>
    <row r="298" spans="1:10" ht="25.5" x14ac:dyDescent="0.2">
      <c r="A298" s="2354"/>
      <c r="B298" s="1272" t="s">
        <v>2703</v>
      </c>
      <c r="C298" s="128" t="s">
        <v>32</v>
      </c>
      <c r="D298" s="128" t="s">
        <v>1036</v>
      </c>
      <c r="E298" s="1545">
        <v>3</v>
      </c>
      <c r="F298" s="1547">
        <v>0.12</v>
      </c>
      <c r="G298" s="1546">
        <f t="shared" si="21"/>
        <v>4</v>
      </c>
      <c r="H298" s="1545">
        <v>619338</v>
      </c>
      <c r="I298" s="1547">
        <v>22912</v>
      </c>
      <c r="J298" s="1546">
        <f t="shared" si="22"/>
        <v>3.6994339116928074</v>
      </c>
    </row>
    <row r="299" spans="1:10" ht="20.25" customHeight="1" x14ac:dyDescent="0.2">
      <c r="A299" s="2349" t="s">
        <v>993</v>
      </c>
      <c r="B299" s="2349"/>
      <c r="C299" s="98"/>
      <c r="D299" s="73"/>
      <c r="E299" s="65"/>
      <c r="F299" s="65"/>
      <c r="G299" s="65"/>
      <c r="H299" s="74">
        <f>+H300</f>
        <v>5600</v>
      </c>
      <c r="I299" s="7"/>
      <c r="J299" s="7"/>
    </row>
    <row r="300" spans="1:10" ht="27.75" customHeight="1" x14ac:dyDescent="0.2">
      <c r="A300" s="1271">
        <v>1</v>
      </c>
      <c r="B300" s="1527" t="s">
        <v>994</v>
      </c>
      <c r="C300" s="47" t="s">
        <v>720</v>
      </c>
      <c r="D300" s="43" t="s">
        <v>175</v>
      </c>
      <c r="E300" s="19">
        <v>1</v>
      </c>
      <c r="F300" s="18">
        <v>1</v>
      </c>
      <c r="G300" s="91">
        <f t="shared" ref="G300" si="23">+F300/E300*100</f>
        <v>100</v>
      </c>
      <c r="H300" s="8">
        <v>5600</v>
      </c>
      <c r="I300" s="80">
        <v>0</v>
      </c>
      <c r="J300" s="91">
        <f t="shared" ref="J300" si="24">+I300/H300*100</f>
        <v>0</v>
      </c>
    </row>
    <row r="301" spans="1:10" ht="16.5" customHeight="1" x14ac:dyDescent="0.2">
      <c r="A301" s="2349" t="s">
        <v>377</v>
      </c>
      <c r="B301" s="2349"/>
      <c r="C301" s="98"/>
      <c r="D301" s="73"/>
      <c r="E301" s="65"/>
      <c r="F301" s="65"/>
      <c r="G301" s="65"/>
      <c r="H301" s="74">
        <f>+H302</f>
        <v>430000</v>
      </c>
      <c r="I301" s="96">
        <f>+I302</f>
        <v>3591.02</v>
      </c>
      <c r="J301" s="2067">
        <f>+I301/H301*100</f>
        <v>0.83512093023255818</v>
      </c>
    </row>
    <row r="302" spans="1:10" ht="25.5" x14ac:dyDescent="0.2">
      <c r="A302" s="1616">
        <v>1</v>
      </c>
      <c r="B302" s="2068" t="s">
        <v>995</v>
      </c>
      <c r="C302" s="60" t="s">
        <v>69</v>
      </c>
      <c r="D302" s="43" t="s">
        <v>351</v>
      </c>
      <c r="E302" s="25">
        <v>1</v>
      </c>
      <c r="F302" s="2069">
        <v>1</v>
      </c>
      <c r="G302" s="80">
        <f t="shared" ref="G302" si="25">+F302/E302*100</f>
        <v>100</v>
      </c>
      <c r="H302" s="19">
        <v>430000</v>
      </c>
      <c r="I302" s="2070">
        <v>3591.02</v>
      </c>
      <c r="J302" s="91">
        <f t="shared" ref="J302" si="26">+I302/H302*100</f>
        <v>0.83512093023255818</v>
      </c>
    </row>
    <row r="303" spans="1:10" ht="17.25" customHeight="1" x14ac:dyDescent="0.2">
      <c r="A303" s="2350" t="s">
        <v>378</v>
      </c>
      <c r="B303" s="2350"/>
      <c r="C303" s="98"/>
      <c r="D303" s="73"/>
      <c r="E303" s="65"/>
      <c r="F303" s="65"/>
      <c r="G303" s="65"/>
      <c r="H303" s="74">
        <f>+H304</f>
        <v>1177733</v>
      </c>
      <c r="I303" s="96">
        <f>+I304</f>
        <v>1400</v>
      </c>
      <c r="J303" s="2067">
        <f>+I303/H303*100</f>
        <v>0.11887244392404729</v>
      </c>
    </row>
    <row r="304" spans="1:10" ht="27.75" customHeight="1" x14ac:dyDescent="0.2">
      <c r="A304" s="2071">
        <v>1</v>
      </c>
      <c r="B304" s="2072" t="s">
        <v>997</v>
      </c>
      <c r="C304" s="128" t="s">
        <v>70</v>
      </c>
      <c r="D304" s="2073" t="s">
        <v>998</v>
      </c>
      <c r="E304" s="2074">
        <v>1</v>
      </c>
      <c r="F304" s="2074">
        <v>1.1999999999999999E-3</v>
      </c>
      <c r="G304" s="2075">
        <f>(F304/E304)*100</f>
        <v>0.12</v>
      </c>
      <c r="H304" s="2076">
        <v>1177733</v>
      </c>
      <c r="I304" s="2077">
        <v>1400</v>
      </c>
      <c r="J304" s="2078">
        <f t="shared" ref="J304" si="27">+I304/H304*100</f>
        <v>0.11887244392404729</v>
      </c>
    </row>
    <row r="305" spans="1:10" ht="18" customHeight="1" x14ac:dyDescent="0.2">
      <c r="A305" s="1533" t="s">
        <v>1001</v>
      </c>
      <c r="B305" s="1537"/>
      <c r="C305" s="1534"/>
      <c r="D305" s="1535"/>
      <c r="E305" s="1536"/>
      <c r="F305" s="1536"/>
      <c r="G305" s="1536"/>
      <c r="H305" s="1538">
        <f>SUM(H306:H308)</f>
        <v>34108819</v>
      </c>
      <c r="I305" s="2079">
        <f>SUM(I306:I308)</f>
        <v>7656490.6999999993</v>
      </c>
      <c r="J305" s="2067">
        <f>+I305/H305*100</f>
        <v>22.447246561072664</v>
      </c>
    </row>
    <row r="306" spans="1:10" ht="18.75" customHeight="1" x14ac:dyDescent="0.2">
      <c r="A306" s="2080">
        <v>1</v>
      </c>
      <c r="B306" s="2081" t="s">
        <v>1002</v>
      </c>
      <c r="C306" s="2073" t="s">
        <v>186</v>
      </c>
      <c r="D306" s="2073" t="s">
        <v>999</v>
      </c>
      <c r="E306" s="2082">
        <v>1</v>
      </c>
      <c r="F306" s="2075">
        <v>0.83099999999999996</v>
      </c>
      <c r="G306" s="2075">
        <v>83.1</v>
      </c>
      <c r="H306" s="2076">
        <v>2912760</v>
      </c>
      <c r="I306" s="2083">
        <v>1693092.83</v>
      </c>
      <c r="J306" s="2083">
        <f>+I306/H306*100</f>
        <v>58.126753663192297</v>
      </c>
    </row>
    <row r="307" spans="1:10" ht="18.75" customHeight="1" x14ac:dyDescent="0.2">
      <c r="A307" s="2080">
        <v>2</v>
      </c>
      <c r="B307" s="2081" t="s">
        <v>1003</v>
      </c>
      <c r="C307" s="2073" t="s">
        <v>70</v>
      </c>
      <c r="D307" s="2073" t="s">
        <v>999</v>
      </c>
      <c r="E307" s="2082">
        <v>1</v>
      </c>
      <c r="F307" s="2075">
        <v>0.57930000000000004</v>
      </c>
      <c r="G307" s="2075">
        <v>58.93</v>
      </c>
      <c r="H307" s="2076">
        <v>30467759</v>
      </c>
      <c r="I307" s="2083">
        <v>5769082.8699999992</v>
      </c>
      <c r="J307" s="2083">
        <f>+I307/H307*100</f>
        <v>18.935041694402265</v>
      </c>
    </row>
    <row r="308" spans="1:10" ht="18.75" customHeight="1" x14ac:dyDescent="0.2">
      <c r="A308" s="2080">
        <v>3</v>
      </c>
      <c r="B308" s="2081" t="s">
        <v>1004</v>
      </c>
      <c r="C308" s="2073" t="s">
        <v>350</v>
      </c>
      <c r="D308" s="2073" t="s">
        <v>1000</v>
      </c>
      <c r="E308" s="2082">
        <v>1</v>
      </c>
      <c r="F308" s="2075">
        <v>0.7</v>
      </c>
      <c r="G308" s="2082">
        <v>70</v>
      </c>
      <c r="H308" s="2076">
        <v>728300</v>
      </c>
      <c r="I308" s="2083">
        <v>194315</v>
      </c>
      <c r="J308" s="2083">
        <f>+I308/H308*100</f>
        <v>26.680626115611698</v>
      </c>
    </row>
  </sheetData>
  <mergeCells count="26">
    <mergeCell ref="A301:B301"/>
    <mergeCell ref="A303:B303"/>
    <mergeCell ref="A92:A112"/>
    <mergeCell ref="A192:A224"/>
    <mergeCell ref="A225:A239"/>
    <mergeCell ref="A240:A248"/>
    <mergeCell ref="A249:A251"/>
    <mergeCell ref="A253:A260"/>
    <mergeCell ref="A261:A267"/>
    <mergeCell ref="A269:A298"/>
    <mergeCell ref="A113:A135"/>
    <mergeCell ref="A136:A159"/>
    <mergeCell ref="A160:A171"/>
    <mergeCell ref="A172:A191"/>
    <mergeCell ref="A299:B299"/>
    <mergeCell ref="A2:B2"/>
    <mergeCell ref="A6:A7"/>
    <mergeCell ref="B6:B7"/>
    <mergeCell ref="C6:C7"/>
    <mergeCell ref="D6:G6"/>
    <mergeCell ref="H6:J6"/>
    <mergeCell ref="A4:J4"/>
    <mergeCell ref="A5:J5"/>
    <mergeCell ref="A3:J3"/>
    <mergeCell ref="A9:B9"/>
    <mergeCell ref="C8:G8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2:J49"/>
  <sheetViews>
    <sheetView view="pageBreakPreview" topLeftCell="A25" zoomScaleNormal="100" zoomScaleSheetLayoutView="100" workbookViewId="0">
      <selection activeCell="A8" sqref="A8"/>
    </sheetView>
  </sheetViews>
  <sheetFormatPr baseColWidth="10" defaultRowHeight="12.75" x14ac:dyDescent="0.2"/>
  <cols>
    <col min="1" max="1" width="4.28515625" style="4" customWidth="1"/>
    <col min="2" max="2" width="61.42578125" style="2" customWidth="1"/>
    <col min="3" max="3" width="16.28515625" style="5" customWidth="1"/>
    <col min="4" max="4" width="14.5703125" style="6" customWidth="1"/>
    <col min="5" max="5" width="12.140625" style="40" customWidth="1"/>
    <col min="6" max="6" width="12.140625" style="2" customWidth="1"/>
    <col min="7" max="7" width="11.7109375" style="2" customWidth="1"/>
    <col min="8" max="8" width="14.140625" style="2" customWidth="1"/>
    <col min="9" max="9" width="13.5703125" style="2" customWidth="1"/>
    <col min="10" max="10" width="11.7109375" style="2" bestFit="1" customWidth="1"/>
    <col min="11" max="16384" width="11.42578125" style="2"/>
  </cols>
  <sheetData>
    <row r="2" spans="1:10" ht="15.75" customHeight="1" x14ac:dyDescent="0.2">
      <c r="A2" s="2356" t="s">
        <v>18</v>
      </c>
      <c r="B2" s="2357"/>
      <c r="C2" s="149"/>
      <c r="D2" s="150"/>
      <c r="E2" s="151"/>
      <c r="F2" s="152"/>
      <c r="G2" s="153"/>
      <c r="H2" s="153"/>
      <c r="I2" s="153"/>
      <c r="J2" s="154"/>
    </row>
    <row r="3" spans="1:10" ht="15.75" customHeight="1" x14ac:dyDescent="0.2">
      <c r="A3" s="2328" t="s">
        <v>2779</v>
      </c>
      <c r="B3" s="2329"/>
      <c r="C3" s="2329"/>
      <c r="D3" s="2329"/>
      <c r="E3" s="2329"/>
      <c r="F3" s="2329"/>
      <c r="G3" s="2329"/>
      <c r="H3" s="2329"/>
      <c r="I3" s="2329"/>
      <c r="J3" s="2330"/>
    </row>
    <row r="4" spans="1:10" ht="25.5" customHeight="1" x14ac:dyDescent="0.2">
      <c r="A4" s="2336" t="s">
        <v>9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0" ht="25.5" customHeight="1" x14ac:dyDescent="0.2">
      <c r="A5" s="2339" t="s">
        <v>10</v>
      </c>
      <c r="B5" s="2340"/>
      <c r="C5" s="2340"/>
      <c r="D5" s="2340"/>
      <c r="E5" s="2340"/>
      <c r="F5" s="2340"/>
      <c r="G5" s="2340"/>
      <c r="H5" s="2340"/>
      <c r="I5" s="2340"/>
      <c r="J5" s="2341"/>
    </row>
    <row r="6" spans="1:10" ht="18" customHeight="1" x14ac:dyDescent="0.2">
      <c r="A6" s="2348" t="s">
        <v>0</v>
      </c>
      <c r="B6" s="2348" t="s">
        <v>1</v>
      </c>
      <c r="C6" s="2348" t="s">
        <v>2</v>
      </c>
      <c r="D6" s="2335" t="s">
        <v>773</v>
      </c>
      <c r="E6" s="2335"/>
      <c r="F6" s="2335"/>
      <c r="G6" s="2335"/>
      <c r="H6" s="2335" t="s">
        <v>774</v>
      </c>
      <c r="I6" s="2335"/>
      <c r="J6" s="2335"/>
    </row>
    <row r="7" spans="1:10" ht="24.75" customHeight="1" x14ac:dyDescent="0.2">
      <c r="A7" s="2348"/>
      <c r="B7" s="2348"/>
      <c r="C7" s="2348"/>
      <c r="D7" s="112" t="s">
        <v>3</v>
      </c>
      <c r="E7" s="112" t="s">
        <v>4</v>
      </c>
      <c r="F7" s="112" t="s">
        <v>747</v>
      </c>
      <c r="G7" s="112" t="s">
        <v>746</v>
      </c>
      <c r="H7" s="88" t="s">
        <v>748</v>
      </c>
      <c r="I7" s="112" t="s">
        <v>747</v>
      </c>
      <c r="J7" s="112" t="s">
        <v>746</v>
      </c>
    </row>
    <row r="8" spans="1:10" ht="14.25" customHeight="1" x14ac:dyDescent="0.2">
      <c r="A8" s="90"/>
      <c r="C8" s="2343" t="s">
        <v>1050</v>
      </c>
      <c r="D8" s="2344"/>
      <c r="E8" s="2344"/>
      <c r="F8" s="2344"/>
      <c r="G8" s="2345"/>
      <c r="H8" s="99">
        <f>+H9+H11+H26</f>
        <v>20607929</v>
      </c>
      <c r="I8" s="111">
        <f>+I9+I11+I26</f>
        <v>9088013.1699999999</v>
      </c>
      <c r="J8" s="163">
        <f>+I8/H8*100</f>
        <v>44.099594723953096</v>
      </c>
    </row>
    <row r="9" spans="1:10" ht="21" customHeight="1" x14ac:dyDescent="0.2">
      <c r="A9" s="137" t="s">
        <v>1045</v>
      </c>
      <c r="B9" s="138"/>
      <c r="C9" s="139"/>
      <c r="D9" s="140"/>
      <c r="E9" s="141"/>
      <c r="F9" s="138"/>
      <c r="G9" s="142"/>
      <c r="H9" s="145">
        <f>+H10</f>
        <v>8000</v>
      </c>
      <c r="I9" s="147">
        <f>+I10</f>
        <v>0</v>
      </c>
      <c r="J9" s="157">
        <f>+J10</f>
        <v>0</v>
      </c>
    </row>
    <row r="10" spans="1:10" ht="39" customHeight="1" x14ac:dyDescent="0.2">
      <c r="A10" s="148">
        <v>1</v>
      </c>
      <c r="B10" s="143" t="s">
        <v>1046</v>
      </c>
      <c r="C10" s="144" t="s">
        <v>188</v>
      </c>
      <c r="D10" s="158" t="s">
        <v>414</v>
      </c>
      <c r="E10" s="159">
        <v>1</v>
      </c>
      <c r="F10" s="160">
        <v>1</v>
      </c>
      <c r="G10" s="161">
        <f t="shared" ref="G10" si="0">+F10/E10*100</f>
        <v>100</v>
      </c>
      <c r="H10" s="155">
        <v>8000</v>
      </c>
      <c r="I10" s="146">
        <v>0</v>
      </c>
      <c r="J10" s="162">
        <f t="shared" ref="J10:J11" si="1">+I10/H10*100</f>
        <v>0</v>
      </c>
    </row>
    <row r="11" spans="1:10" ht="21" customHeight="1" x14ac:dyDescent="0.2">
      <c r="A11" s="2084" t="s">
        <v>1047</v>
      </c>
      <c r="B11" s="68"/>
      <c r="C11" s="2085"/>
      <c r="D11" s="2086"/>
      <c r="E11" s="2087"/>
      <c r="F11" s="142"/>
      <c r="G11" s="142"/>
      <c r="H11" s="145">
        <f>SUM(H12:H25)</f>
        <v>20199324</v>
      </c>
      <c r="I11" s="147">
        <f>SUM(I12:I25)</f>
        <v>8901807.4900000002</v>
      </c>
      <c r="J11" s="164">
        <f t="shared" si="1"/>
        <v>44.069828722981022</v>
      </c>
    </row>
    <row r="12" spans="1:10" ht="30" customHeight="1" x14ac:dyDescent="0.2">
      <c r="A12" s="2088">
        <v>1</v>
      </c>
      <c r="B12" s="2089" t="s">
        <v>1048</v>
      </c>
      <c r="C12" s="144" t="s">
        <v>349</v>
      </c>
      <c r="D12" s="144" t="s">
        <v>175</v>
      </c>
      <c r="E12" s="155">
        <v>1</v>
      </c>
      <c r="F12" s="146">
        <v>1</v>
      </c>
      <c r="G12" s="146">
        <v>100</v>
      </c>
      <c r="H12" s="2090">
        <v>1068141</v>
      </c>
      <c r="I12" s="2091">
        <v>293450.61</v>
      </c>
      <c r="J12" s="2091">
        <f>+I12/H12*100</f>
        <v>27.473021820152955</v>
      </c>
    </row>
    <row r="13" spans="1:10" ht="38.25" x14ac:dyDescent="0.2">
      <c r="A13" s="2088">
        <v>2</v>
      </c>
      <c r="B13" s="2089" t="s">
        <v>1059</v>
      </c>
      <c r="C13" s="144" t="s">
        <v>32</v>
      </c>
      <c r="D13" s="144" t="s">
        <v>93</v>
      </c>
      <c r="E13" s="155">
        <v>1</v>
      </c>
      <c r="F13" s="146">
        <v>0.5</v>
      </c>
      <c r="G13" s="146">
        <f>+F13/E13*100</f>
        <v>50</v>
      </c>
      <c r="H13" s="2090">
        <v>3927800</v>
      </c>
      <c r="I13" s="2091">
        <v>1993167</v>
      </c>
      <c r="J13" s="2091">
        <f t="shared" ref="J13:J25" si="2">+I13/H13*100</f>
        <v>50.74512449717399</v>
      </c>
    </row>
    <row r="14" spans="1:10" ht="25.5" x14ac:dyDescent="0.2">
      <c r="A14" s="2088">
        <v>3</v>
      </c>
      <c r="B14" s="2092" t="s">
        <v>1058</v>
      </c>
      <c r="C14" s="144" t="s">
        <v>187</v>
      </c>
      <c r="D14" s="144" t="s">
        <v>175</v>
      </c>
      <c r="E14" s="155">
        <v>0.5</v>
      </c>
      <c r="F14" s="146">
        <v>1</v>
      </c>
      <c r="G14" s="146">
        <v>100</v>
      </c>
      <c r="H14" s="2090">
        <v>622425</v>
      </c>
      <c r="I14" s="2091">
        <v>55761</v>
      </c>
      <c r="J14" s="2091">
        <f t="shared" si="2"/>
        <v>8.9586697192432823</v>
      </c>
    </row>
    <row r="15" spans="1:10" ht="25.5" x14ac:dyDescent="0.2">
      <c r="A15" s="2088">
        <v>4</v>
      </c>
      <c r="B15" s="2089" t="s">
        <v>1057</v>
      </c>
      <c r="C15" s="144" t="s">
        <v>525</v>
      </c>
      <c r="D15" s="144" t="s">
        <v>175</v>
      </c>
      <c r="E15" s="2093">
        <v>0.1</v>
      </c>
      <c r="F15" s="146">
        <v>0.1</v>
      </c>
      <c r="G15" s="146">
        <v>100</v>
      </c>
      <c r="H15" s="2090">
        <v>641500</v>
      </c>
      <c r="I15" s="2091">
        <v>199614.04</v>
      </c>
      <c r="J15" s="2091">
        <f t="shared" si="2"/>
        <v>31.116763834762278</v>
      </c>
    </row>
    <row r="16" spans="1:10" ht="25.5" x14ac:dyDescent="0.2">
      <c r="A16" s="2088">
        <v>5</v>
      </c>
      <c r="B16" s="2089" t="s">
        <v>1056</v>
      </c>
      <c r="C16" s="144" t="s">
        <v>68</v>
      </c>
      <c r="D16" s="144" t="s">
        <v>175</v>
      </c>
      <c r="E16" s="146">
        <v>0.1</v>
      </c>
      <c r="F16" s="146">
        <v>0.1</v>
      </c>
      <c r="G16" s="146">
        <v>100</v>
      </c>
      <c r="H16" s="2090">
        <v>2141944</v>
      </c>
      <c r="I16" s="2091">
        <v>1402134</v>
      </c>
      <c r="J16" s="2091">
        <f t="shared" si="2"/>
        <v>65.460815035313715</v>
      </c>
    </row>
    <row r="17" spans="1:10" ht="25.5" x14ac:dyDescent="0.2">
      <c r="A17" s="2088">
        <v>6</v>
      </c>
      <c r="B17" s="2089" t="s">
        <v>1055</v>
      </c>
      <c r="C17" s="144" t="s">
        <v>735</v>
      </c>
      <c r="D17" s="144" t="s">
        <v>175</v>
      </c>
      <c r="E17" s="146">
        <v>0.05</v>
      </c>
      <c r="F17" s="146">
        <v>0.05</v>
      </c>
      <c r="G17" s="146">
        <v>100</v>
      </c>
      <c r="H17" s="2090">
        <v>330000</v>
      </c>
      <c r="I17" s="2091">
        <v>0</v>
      </c>
      <c r="J17" s="2091">
        <v>0</v>
      </c>
    </row>
    <row r="18" spans="1:10" ht="38.25" x14ac:dyDescent="0.2">
      <c r="A18" s="2088">
        <v>7</v>
      </c>
      <c r="B18" s="2089" t="s">
        <v>1054</v>
      </c>
      <c r="C18" s="144" t="s">
        <v>525</v>
      </c>
      <c r="D18" s="144" t="s">
        <v>175</v>
      </c>
      <c r="E18" s="146">
        <v>0.1</v>
      </c>
      <c r="F18" s="146">
        <v>0.1</v>
      </c>
      <c r="G18" s="146">
        <v>100</v>
      </c>
      <c r="H18" s="2090">
        <v>992132</v>
      </c>
      <c r="I18" s="2091">
        <v>282781</v>
      </c>
      <c r="J18" s="2091">
        <f t="shared" si="2"/>
        <v>28.502356541266689</v>
      </c>
    </row>
    <row r="19" spans="1:10" ht="25.5" x14ac:dyDescent="0.2">
      <c r="A19" s="2088">
        <v>8</v>
      </c>
      <c r="B19" s="2089" t="s">
        <v>1053</v>
      </c>
      <c r="C19" s="144" t="s">
        <v>720</v>
      </c>
      <c r="D19" s="144" t="s">
        <v>175</v>
      </c>
      <c r="E19" s="146">
        <v>0.05</v>
      </c>
      <c r="F19" s="146">
        <v>0.05</v>
      </c>
      <c r="G19" s="146">
        <v>100</v>
      </c>
      <c r="H19" s="2090">
        <v>792384</v>
      </c>
      <c r="I19" s="2091">
        <v>95384</v>
      </c>
      <c r="J19" s="2091">
        <f t="shared" si="2"/>
        <v>12.037597932315645</v>
      </c>
    </row>
    <row r="20" spans="1:10" ht="27" customHeight="1" x14ac:dyDescent="0.2">
      <c r="A20" s="2088">
        <v>9</v>
      </c>
      <c r="B20" s="2089" t="s">
        <v>1051</v>
      </c>
      <c r="C20" s="144" t="s">
        <v>186</v>
      </c>
      <c r="D20" s="144" t="s">
        <v>175</v>
      </c>
      <c r="E20" s="146">
        <v>0.1</v>
      </c>
      <c r="F20" s="146">
        <v>0.1</v>
      </c>
      <c r="G20" s="146">
        <v>100</v>
      </c>
      <c r="H20" s="2090">
        <v>1514057</v>
      </c>
      <c r="I20" s="2091">
        <v>208118</v>
      </c>
      <c r="J20" s="2091">
        <f t="shared" si="2"/>
        <v>13.745717631502643</v>
      </c>
    </row>
    <row r="21" spans="1:10" ht="27.75" customHeight="1" x14ac:dyDescent="0.2">
      <c r="A21" s="2088">
        <v>10</v>
      </c>
      <c r="B21" s="2089" t="s">
        <v>1052</v>
      </c>
      <c r="C21" s="144" t="s">
        <v>70</v>
      </c>
      <c r="D21" s="144" t="s">
        <v>175</v>
      </c>
      <c r="E21" s="146">
        <v>0.02</v>
      </c>
      <c r="F21" s="146">
        <v>0.02</v>
      </c>
      <c r="G21" s="146">
        <v>100</v>
      </c>
      <c r="H21" s="2090">
        <v>1982117</v>
      </c>
      <c r="I21" s="2091">
        <v>99948</v>
      </c>
      <c r="J21" s="2091">
        <f t="shared" si="2"/>
        <v>5.0424874010969081</v>
      </c>
    </row>
    <row r="22" spans="1:10" ht="27.75" customHeight="1" x14ac:dyDescent="0.2">
      <c r="A22" s="2088">
        <v>11</v>
      </c>
      <c r="B22" s="2089" t="s">
        <v>1062</v>
      </c>
      <c r="C22" s="144" t="s">
        <v>69</v>
      </c>
      <c r="D22" s="144" t="s">
        <v>175</v>
      </c>
      <c r="E22" s="146">
        <v>0.1</v>
      </c>
      <c r="F22" s="2094">
        <v>8.6999999999999994E-2</v>
      </c>
      <c r="G22" s="146">
        <f>+F22/E22*100</f>
        <v>86.999999999999986</v>
      </c>
      <c r="H22" s="2090">
        <v>4808292</v>
      </c>
      <c r="I22" s="2091">
        <v>4044932</v>
      </c>
      <c r="J22" s="2091">
        <f t="shared" si="2"/>
        <v>84.124092297223214</v>
      </c>
    </row>
    <row r="23" spans="1:10" ht="29.25" customHeight="1" x14ac:dyDescent="0.2">
      <c r="A23" s="2088">
        <v>12</v>
      </c>
      <c r="B23" s="2089" t="s">
        <v>1061</v>
      </c>
      <c r="C23" s="144" t="s">
        <v>188</v>
      </c>
      <c r="D23" s="144" t="s">
        <v>175</v>
      </c>
      <c r="E23" s="146">
        <v>0.03</v>
      </c>
      <c r="F23" s="146">
        <v>0.03</v>
      </c>
      <c r="G23" s="146">
        <v>100</v>
      </c>
      <c r="H23" s="2090">
        <v>504232</v>
      </c>
      <c r="I23" s="2091">
        <v>58268</v>
      </c>
      <c r="J23" s="2091">
        <f t="shared" si="2"/>
        <v>11.555791778387727</v>
      </c>
    </row>
    <row r="24" spans="1:10" ht="27.75" customHeight="1" x14ac:dyDescent="0.2">
      <c r="A24" s="2088">
        <v>13</v>
      </c>
      <c r="B24" s="2089" t="s">
        <v>1060</v>
      </c>
      <c r="C24" s="144" t="s">
        <v>186</v>
      </c>
      <c r="D24" s="144" t="s">
        <v>1049</v>
      </c>
      <c r="E24" s="155">
        <v>180</v>
      </c>
      <c r="F24" s="146">
        <v>21</v>
      </c>
      <c r="G24" s="146">
        <f>+F24/E24*100</f>
        <v>11.666666666666666</v>
      </c>
      <c r="H24" s="2090">
        <v>851300</v>
      </c>
      <c r="I24" s="2091">
        <v>156749.83999999997</v>
      </c>
      <c r="J24" s="2091">
        <f t="shared" si="2"/>
        <v>18.412996593445317</v>
      </c>
    </row>
    <row r="25" spans="1:10" ht="27" customHeight="1" x14ac:dyDescent="0.2">
      <c r="A25" s="2088">
        <v>14</v>
      </c>
      <c r="B25" s="2095" t="s">
        <v>1063</v>
      </c>
      <c r="C25" s="144" t="s">
        <v>70</v>
      </c>
      <c r="D25" s="156" t="s">
        <v>706</v>
      </c>
      <c r="E25" s="155">
        <v>1</v>
      </c>
      <c r="F25" s="146">
        <v>0.4</v>
      </c>
      <c r="G25" s="146">
        <f>+F25/E25*100</f>
        <v>40</v>
      </c>
      <c r="H25" s="2090">
        <v>23000</v>
      </c>
      <c r="I25" s="2091">
        <v>11500</v>
      </c>
      <c r="J25" s="2091">
        <f t="shared" si="2"/>
        <v>50</v>
      </c>
    </row>
    <row r="26" spans="1:10" ht="27" customHeight="1" x14ac:dyDescent="0.2">
      <c r="A26" s="2355" t="s">
        <v>373</v>
      </c>
      <c r="B26" s="2355"/>
      <c r="C26" s="165"/>
      <c r="D26" s="165"/>
      <c r="E26" s="166"/>
      <c r="F26" s="166"/>
      <c r="G26" s="167"/>
      <c r="H26" s="168">
        <f>+H27+H33+H38</f>
        <v>400605</v>
      </c>
      <c r="I26" s="528">
        <f>+I27+I33+I38</f>
        <v>186205.68</v>
      </c>
      <c r="J26" s="164">
        <f>+I26/H26*100</f>
        <v>46.48111731006852</v>
      </c>
    </row>
    <row r="27" spans="1:10" ht="20.25" customHeight="1" x14ac:dyDescent="0.2">
      <c r="A27" s="169"/>
      <c r="B27" s="170" t="s">
        <v>100</v>
      </c>
      <c r="C27" s="171"/>
      <c r="D27" s="171"/>
      <c r="E27" s="172"/>
      <c r="F27" s="172"/>
      <c r="G27" s="172"/>
      <c r="H27" s="173">
        <f>SUM(H28:H32)</f>
        <v>147241</v>
      </c>
      <c r="I27" s="174">
        <f>SUM(I28:I32)</f>
        <v>56682</v>
      </c>
      <c r="J27" s="174">
        <f>+I27/H27*100</f>
        <v>38.496071067161999</v>
      </c>
    </row>
    <row r="28" spans="1:10" ht="21.75" customHeight="1" x14ac:dyDescent="0.2">
      <c r="A28" s="175">
        <v>1</v>
      </c>
      <c r="B28" s="176" t="s">
        <v>101</v>
      </c>
      <c r="C28" s="156" t="s">
        <v>32</v>
      </c>
      <c r="D28" s="177" t="s">
        <v>60</v>
      </c>
      <c r="E28" s="159">
        <v>24</v>
      </c>
      <c r="F28" s="159">
        <v>11</v>
      </c>
      <c r="G28" s="159">
        <v>46</v>
      </c>
      <c r="H28" s="146">
        <v>64656</v>
      </c>
      <c r="I28" s="146">
        <v>18713</v>
      </c>
      <c r="J28" s="178">
        <f>+I28/H28*100</f>
        <v>28.94240287057659</v>
      </c>
    </row>
    <row r="29" spans="1:10" ht="25.5" x14ac:dyDescent="0.2">
      <c r="A29" s="175">
        <v>2</v>
      </c>
      <c r="B29" s="176" t="s">
        <v>1064</v>
      </c>
      <c r="C29" s="156" t="s">
        <v>32</v>
      </c>
      <c r="D29" s="177" t="s">
        <v>60</v>
      </c>
      <c r="E29" s="159">
        <v>8</v>
      </c>
      <c r="F29" s="159">
        <v>5</v>
      </c>
      <c r="G29" s="159">
        <v>63</v>
      </c>
      <c r="H29" s="146">
        <v>16715</v>
      </c>
      <c r="I29" s="146">
        <v>10447</v>
      </c>
      <c r="J29" s="178">
        <f t="shared" ref="J29:J41" si="3">+I29/H29*100</f>
        <v>62.50074783128926</v>
      </c>
    </row>
    <row r="30" spans="1:10" ht="22.5" customHeight="1" x14ac:dyDescent="0.2">
      <c r="A30" s="175">
        <v>3</v>
      </c>
      <c r="B30" s="176" t="s">
        <v>102</v>
      </c>
      <c r="C30" s="156" t="s">
        <v>32</v>
      </c>
      <c r="D30" s="177" t="s">
        <v>60</v>
      </c>
      <c r="E30" s="159">
        <v>13</v>
      </c>
      <c r="F30" s="159">
        <v>7</v>
      </c>
      <c r="G30" s="159">
        <v>54</v>
      </c>
      <c r="H30" s="146">
        <v>30819</v>
      </c>
      <c r="I30" s="146">
        <v>16595</v>
      </c>
      <c r="J30" s="178">
        <f t="shared" si="3"/>
        <v>53.846653038709889</v>
      </c>
    </row>
    <row r="31" spans="1:10" ht="26.25" customHeight="1" x14ac:dyDescent="0.2">
      <c r="A31" s="175">
        <v>4</v>
      </c>
      <c r="B31" s="176" t="s">
        <v>103</v>
      </c>
      <c r="C31" s="156" t="s">
        <v>32</v>
      </c>
      <c r="D31" s="177" t="s">
        <v>60</v>
      </c>
      <c r="E31" s="159">
        <v>4</v>
      </c>
      <c r="F31" s="159">
        <v>1</v>
      </c>
      <c r="G31" s="159">
        <v>25</v>
      </c>
      <c r="H31" s="146">
        <v>24819</v>
      </c>
      <c r="I31" s="146">
        <v>6205</v>
      </c>
      <c r="J31" s="178">
        <f t="shared" si="3"/>
        <v>25.001007292799869</v>
      </c>
    </row>
    <row r="32" spans="1:10" ht="19.5" customHeight="1" x14ac:dyDescent="0.2">
      <c r="A32" s="175">
        <v>5</v>
      </c>
      <c r="B32" s="176" t="s">
        <v>104</v>
      </c>
      <c r="C32" s="156" t="s">
        <v>32</v>
      </c>
      <c r="D32" s="177" t="s">
        <v>60</v>
      </c>
      <c r="E32" s="159">
        <v>13</v>
      </c>
      <c r="F32" s="159">
        <v>6</v>
      </c>
      <c r="G32" s="159">
        <v>46</v>
      </c>
      <c r="H32" s="146">
        <v>10232</v>
      </c>
      <c r="I32" s="146">
        <v>4722</v>
      </c>
      <c r="J32" s="178">
        <f t="shared" si="3"/>
        <v>46.149335418295543</v>
      </c>
    </row>
    <row r="33" spans="1:10" ht="19.5" customHeight="1" x14ac:dyDescent="0.2">
      <c r="A33" s="179"/>
      <c r="B33" s="170" t="s">
        <v>105</v>
      </c>
      <c r="C33" s="156"/>
      <c r="D33" s="156"/>
      <c r="E33" s="180"/>
      <c r="F33" s="180"/>
      <c r="G33" s="180"/>
      <c r="H33" s="173">
        <f>SUM(H34:H37)</f>
        <v>134482</v>
      </c>
      <c r="I33" s="174">
        <f>SUM(I34:I37)</f>
        <v>68950.679999999993</v>
      </c>
      <c r="J33" s="174">
        <f>+I33/H33*100</f>
        <v>51.271307684299749</v>
      </c>
    </row>
    <row r="34" spans="1:10" ht="38.25" x14ac:dyDescent="0.2">
      <c r="A34" s="175">
        <v>1</v>
      </c>
      <c r="B34" s="176" t="s">
        <v>1065</v>
      </c>
      <c r="C34" s="156" t="s">
        <v>32</v>
      </c>
      <c r="D34" s="181" t="s">
        <v>60</v>
      </c>
      <c r="E34" s="159">
        <v>12</v>
      </c>
      <c r="F34" s="159">
        <v>4</v>
      </c>
      <c r="G34" s="159">
        <v>30</v>
      </c>
      <c r="H34" s="146">
        <v>29212</v>
      </c>
      <c r="I34" s="146">
        <v>9337</v>
      </c>
      <c r="J34" s="178">
        <f t="shared" si="3"/>
        <v>31.962891962207312</v>
      </c>
    </row>
    <row r="35" spans="1:10" ht="25.5" x14ac:dyDescent="0.2">
      <c r="A35" s="175">
        <v>2</v>
      </c>
      <c r="B35" s="176" t="s">
        <v>1066</v>
      </c>
      <c r="C35" s="156" t="s">
        <v>32</v>
      </c>
      <c r="D35" s="181" t="s">
        <v>106</v>
      </c>
      <c r="E35" s="159">
        <v>13</v>
      </c>
      <c r="F35" s="159">
        <v>5</v>
      </c>
      <c r="G35" s="159">
        <v>38</v>
      </c>
      <c r="H35" s="146">
        <v>37333</v>
      </c>
      <c r="I35" s="146">
        <v>14358.68</v>
      </c>
      <c r="J35" s="178">
        <f t="shared" si="3"/>
        <v>38.461093402619667</v>
      </c>
    </row>
    <row r="36" spans="1:10" ht="25.5" x14ac:dyDescent="0.2">
      <c r="A36" s="175">
        <v>3</v>
      </c>
      <c r="B36" s="176" t="s">
        <v>107</v>
      </c>
      <c r="C36" s="156" t="s">
        <v>32</v>
      </c>
      <c r="D36" s="181" t="s">
        <v>106</v>
      </c>
      <c r="E36" s="159">
        <v>4</v>
      </c>
      <c r="F36" s="159">
        <v>0</v>
      </c>
      <c r="G36" s="159">
        <v>0</v>
      </c>
      <c r="H36" s="146">
        <v>12238</v>
      </c>
      <c r="I36" s="146">
        <v>0</v>
      </c>
      <c r="J36" s="178">
        <f t="shared" si="3"/>
        <v>0</v>
      </c>
    </row>
    <row r="37" spans="1:10" ht="42.75" customHeight="1" x14ac:dyDescent="0.2">
      <c r="A37" s="175">
        <v>4</v>
      </c>
      <c r="B37" s="176" t="s">
        <v>1067</v>
      </c>
      <c r="C37" s="156" t="s">
        <v>32</v>
      </c>
      <c r="D37" s="181" t="s">
        <v>106</v>
      </c>
      <c r="E37" s="159">
        <v>16</v>
      </c>
      <c r="F37" s="159">
        <v>13</v>
      </c>
      <c r="G37" s="159">
        <v>81</v>
      </c>
      <c r="H37" s="146">
        <v>55699</v>
      </c>
      <c r="I37" s="146">
        <v>45255</v>
      </c>
      <c r="J37" s="178">
        <f t="shared" si="3"/>
        <v>81.249214528088473</v>
      </c>
    </row>
    <row r="38" spans="1:10" ht="18.75" customHeight="1" x14ac:dyDescent="0.2">
      <c r="A38" s="179"/>
      <c r="B38" s="170" t="s">
        <v>108</v>
      </c>
      <c r="C38" s="182"/>
      <c r="D38" s="182"/>
      <c r="E38" s="183"/>
      <c r="F38" s="183"/>
      <c r="G38" s="183"/>
      <c r="H38" s="173">
        <f>SUM(H39:H41)</f>
        <v>118882</v>
      </c>
      <c r="I38" s="174">
        <f>SUM(I39:I41)</f>
        <v>60573</v>
      </c>
      <c r="J38" s="174">
        <f>+I38/H38*100</f>
        <v>50.952204707188642</v>
      </c>
    </row>
    <row r="39" spans="1:10" ht="25.5" x14ac:dyDescent="0.2">
      <c r="A39" s="175">
        <v>1</v>
      </c>
      <c r="B39" s="176" t="s">
        <v>1068</v>
      </c>
      <c r="C39" s="156" t="s">
        <v>37</v>
      </c>
      <c r="D39" s="177" t="s">
        <v>395</v>
      </c>
      <c r="E39" s="159">
        <v>100</v>
      </c>
      <c r="F39" s="159">
        <v>60</v>
      </c>
      <c r="G39" s="159">
        <v>60</v>
      </c>
      <c r="H39" s="146">
        <v>29509</v>
      </c>
      <c r="I39" s="146">
        <v>17705</v>
      </c>
      <c r="J39" s="178">
        <f t="shared" si="3"/>
        <v>59.998644481344677</v>
      </c>
    </row>
    <row r="40" spans="1:10" ht="25.5" x14ac:dyDescent="0.2">
      <c r="A40" s="175">
        <v>2</v>
      </c>
      <c r="B40" s="176" t="s">
        <v>109</v>
      </c>
      <c r="C40" s="156" t="s">
        <v>37</v>
      </c>
      <c r="D40" s="177" t="s">
        <v>395</v>
      </c>
      <c r="E40" s="159">
        <v>500</v>
      </c>
      <c r="F40" s="159">
        <v>300</v>
      </c>
      <c r="G40" s="159">
        <v>60</v>
      </c>
      <c r="H40" s="146">
        <v>82547</v>
      </c>
      <c r="I40" s="146">
        <v>39455</v>
      </c>
      <c r="J40" s="178">
        <f t="shared" si="3"/>
        <v>47.797012610997371</v>
      </c>
    </row>
    <row r="41" spans="1:10" ht="38.25" x14ac:dyDescent="0.2">
      <c r="A41" s="175">
        <v>3</v>
      </c>
      <c r="B41" s="176" t="s">
        <v>396</v>
      </c>
      <c r="C41" s="156" t="s">
        <v>32</v>
      </c>
      <c r="D41" s="181" t="s">
        <v>1069</v>
      </c>
      <c r="E41" s="200">
        <v>2</v>
      </c>
      <c r="F41" s="200">
        <v>1</v>
      </c>
      <c r="G41" s="200">
        <v>50</v>
      </c>
      <c r="H41" s="146">
        <v>6826</v>
      </c>
      <c r="I41" s="146">
        <v>3413</v>
      </c>
      <c r="J41" s="178">
        <f t="shared" si="3"/>
        <v>50</v>
      </c>
    </row>
    <row r="42" spans="1:10" x14ac:dyDescent="0.2">
      <c r="I42" s="26"/>
    </row>
    <row r="43" spans="1:10" x14ac:dyDescent="0.2">
      <c r="I43" s="26"/>
    </row>
    <row r="44" spans="1:10" x14ac:dyDescent="0.2">
      <c r="I44" s="26"/>
    </row>
    <row r="45" spans="1:10" x14ac:dyDescent="0.2">
      <c r="I45" s="26"/>
    </row>
    <row r="46" spans="1:10" x14ac:dyDescent="0.2">
      <c r="I46" s="26"/>
    </row>
    <row r="47" spans="1:10" x14ac:dyDescent="0.2">
      <c r="I47" s="26"/>
    </row>
    <row r="48" spans="1:10" x14ac:dyDescent="0.2">
      <c r="I48" s="26"/>
    </row>
    <row r="49" spans="9:9" x14ac:dyDescent="0.2">
      <c r="I49" s="26"/>
    </row>
  </sheetData>
  <mergeCells count="11">
    <mergeCell ref="A2:B2"/>
    <mergeCell ref="A6:A7"/>
    <mergeCell ref="B6:B7"/>
    <mergeCell ref="C6:C7"/>
    <mergeCell ref="D6:G6"/>
    <mergeCell ref="A26:B26"/>
    <mergeCell ref="H6:J6"/>
    <mergeCell ref="A3:J3"/>
    <mergeCell ref="A4:J4"/>
    <mergeCell ref="A5:J5"/>
    <mergeCell ref="C8:G8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L52"/>
  <sheetViews>
    <sheetView view="pageBreakPreview" topLeftCell="A31" zoomScaleNormal="100" zoomScaleSheetLayoutView="100" workbookViewId="0">
      <selection activeCell="D26" sqref="D26"/>
    </sheetView>
  </sheetViews>
  <sheetFormatPr baseColWidth="10" defaultRowHeight="12.75" x14ac:dyDescent="0.2"/>
  <cols>
    <col min="1" max="1" width="4.28515625" style="4" customWidth="1"/>
    <col min="2" max="2" width="61.42578125" style="2" customWidth="1"/>
    <col min="3" max="3" width="16.28515625" style="5" customWidth="1"/>
    <col min="4" max="4" width="14.5703125" style="26" customWidth="1"/>
    <col min="5" max="5" width="12.140625" style="40" customWidth="1"/>
    <col min="6" max="6" width="12.140625" style="26" customWidth="1"/>
    <col min="7" max="7" width="11.42578125" style="2"/>
    <col min="8" max="8" width="11.7109375" style="2" customWidth="1"/>
    <col min="9" max="9" width="13.5703125" style="2" customWidth="1"/>
    <col min="10" max="10" width="9" style="2" customWidth="1"/>
    <col min="11" max="16384" width="11.42578125" style="2"/>
  </cols>
  <sheetData>
    <row r="1" spans="1:12" ht="18.75" customHeight="1" x14ac:dyDescent="0.2">
      <c r="A1" s="2358" t="s">
        <v>371</v>
      </c>
      <c r="B1" s="2359"/>
      <c r="C1" s="2359"/>
      <c r="D1" s="2359"/>
      <c r="E1" s="2359"/>
      <c r="F1" s="2359"/>
      <c r="G1" s="2359"/>
      <c r="H1" s="2359"/>
      <c r="I1" s="2359"/>
      <c r="J1" s="2360"/>
    </row>
    <row r="2" spans="1:12" ht="18" customHeight="1" x14ac:dyDescent="0.2">
      <c r="A2" s="2361" t="s">
        <v>1080</v>
      </c>
      <c r="B2" s="2329"/>
      <c r="C2" s="2329"/>
      <c r="D2" s="2329"/>
      <c r="E2" s="2329"/>
      <c r="F2" s="2329"/>
      <c r="G2" s="2329"/>
      <c r="H2" s="2329"/>
      <c r="I2" s="2329"/>
      <c r="J2" s="2330"/>
    </row>
    <row r="3" spans="1:12" ht="26.25" customHeight="1" x14ac:dyDescent="0.2">
      <c r="A3" s="2366" t="s">
        <v>9</v>
      </c>
      <c r="B3" s="2337"/>
      <c r="C3" s="2337"/>
      <c r="D3" s="2337"/>
      <c r="E3" s="2337"/>
      <c r="F3" s="2337"/>
      <c r="G3" s="2337"/>
      <c r="H3" s="2337"/>
      <c r="I3" s="2337"/>
      <c r="J3" s="2338"/>
    </row>
    <row r="4" spans="1:12" ht="27" customHeight="1" x14ac:dyDescent="0.2">
      <c r="A4" s="2368" t="s">
        <v>2781</v>
      </c>
      <c r="B4" s="2369"/>
      <c r="C4" s="2369"/>
      <c r="D4" s="2369"/>
      <c r="E4" s="2369"/>
      <c r="F4" s="2369"/>
      <c r="G4" s="2369"/>
      <c r="H4" s="2369"/>
      <c r="I4" s="2369"/>
      <c r="J4" s="2370"/>
    </row>
    <row r="5" spans="1:12" ht="18" customHeight="1" x14ac:dyDescent="0.2">
      <c r="A5" s="2367" t="s">
        <v>0</v>
      </c>
      <c r="B5" s="2367" t="s">
        <v>1</v>
      </c>
      <c r="C5" s="2367" t="s">
        <v>2</v>
      </c>
      <c r="D5" s="2365" t="s">
        <v>773</v>
      </c>
      <c r="E5" s="2365"/>
      <c r="F5" s="2365"/>
      <c r="G5" s="2365"/>
      <c r="H5" s="2365" t="s">
        <v>774</v>
      </c>
      <c r="I5" s="2365"/>
      <c r="J5" s="2365"/>
    </row>
    <row r="6" spans="1:12" ht="25.5" customHeight="1" x14ac:dyDescent="0.2">
      <c r="A6" s="2367"/>
      <c r="B6" s="2367"/>
      <c r="C6" s="2367"/>
      <c r="D6" s="1382" t="s">
        <v>3</v>
      </c>
      <c r="E6" s="1382" t="s">
        <v>4</v>
      </c>
      <c r="F6" s="1382" t="s">
        <v>747</v>
      </c>
      <c r="G6" s="1382" t="s">
        <v>746</v>
      </c>
      <c r="H6" s="1383" t="s">
        <v>748</v>
      </c>
      <c r="I6" s="1382" t="s">
        <v>747</v>
      </c>
      <c r="J6" s="1382" t="s">
        <v>746</v>
      </c>
    </row>
    <row r="7" spans="1:12" ht="16.5" customHeight="1" x14ac:dyDescent="0.2">
      <c r="A7" s="1384"/>
      <c r="B7" s="31"/>
      <c r="C7" s="2362" t="s">
        <v>1081</v>
      </c>
      <c r="D7" s="2363"/>
      <c r="E7" s="2363"/>
      <c r="F7" s="2363"/>
      <c r="G7" s="2364"/>
      <c r="H7" s="1567">
        <f>+H8</f>
        <v>813411</v>
      </c>
      <c r="I7" s="1568">
        <f>+I8</f>
        <v>361776.64000000001</v>
      </c>
      <c r="J7" s="1991">
        <f>+I7/H7*100</f>
        <v>44.476487286255043</v>
      </c>
    </row>
    <row r="8" spans="1:12" ht="18.75" customHeight="1" x14ac:dyDescent="0.2">
      <c r="A8" s="1460" t="s">
        <v>1070</v>
      </c>
      <c r="B8" s="1422"/>
      <c r="C8" s="1421"/>
      <c r="D8" s="1421"/>
      <c r="E8" s="1420"/>
      <c r="F8" s="1420"/>
      <c r="G8" s="1420"/>
      <c r="H8" s="1569">
        <f>+H9+H38</f>
        <v>813411</v>
      </c>
      <c r="I8" s="1570">
        <f>+I9+I38</f>
        <v>361776.64000000001</v>
      </c>
      <c r="J8" s="1515">
        <f>+I8/H8*100</f>
        <v>44.476487286255043</v>
      </c>
    </row>
    <row r="9" spans="1:12" ht="15.75" customHeight="1" x14ac:dyDescent="0.2">
      <c r="A9" s="1422"/>
      <c r="B9" s="1571" t="s">
        <v>1071</v>
      </c>
      <c r="C9" s="1572"/>
      <c r="D9" s="1572"/>
      <c r="E9" s="1573"/>
      <c r="F9" s="1573"/>
      <c r="G9" s="1573"/>
      <c r="H9" s="1574">
        <f>+H10</f>
        <v>73263</v>
      </c>
      <c r="I9" s="1499">
        <f>+I10</f>
        <v>35103.64</v>
      </c>
      <c r="J9" s="1463">
        <f>+I9/H9*100</f>
        <v>47.91455441355118</v>
      </c>
      <c r="L9" s="93"/>
    </row>
    <row r="10" spans="1:12" ht="20.25" customHeight="1" x14ac:dyDescent="0.2">
      <c r="A10" s="1575"/>
      <c r="B10" s="1487" t="s">
        <v>358</v>
      </c>
      <c r="C10" s="1488"/>
      <c r="D10" s="1488"/>
      <c r="E10" s="1506"/>
      <c r="F10" s="1506"/>
      <c r="G10" s="1506"/>
      <c r="H10" s="1465">
        <f>+H11+H15+H20+H22+H27+H34+H18</f>
        <v>73263</v>
      </c>
      <c r="I10" s="1463">
        <f>+I11+I15+I20+I22+I27+I34+I18</f>
        <v>35103.64</v>
      </c>
      <c r="J10" s="1463">
        <f>+I10/H10*100</f>
        <v>47.91455441355118</v>
      </c>
    </row>
    <row r="11" spans="1:12" ht="38.25" x14ac:dyDescent="0.2">
      <c r="A11" s="1412">
        <v>1</v>
      </c>
      <c r="B11" s="1576" t="s">
        <v>616</v>
      </c>
      <c r="C11" s="1389"/>
      <c r="D11" s="1577"/>
      <c r="E11" s="1578"/>
      <c r="F11" s="1578"/>
      <c r="G11" s="1398"/>
      <c r="H11" s="1397">
        <f>SUM(H12:H14)</f>
        <v>8911</v>
      </c>
      <c r="I11" s="1398">
        <f>SUM(I12:I14)</f>
        <v>3455</v>
      </c>
      <c r="J11" s="1398">
        <f>+I11/H11*100</f>
        <v>38.772303894063512</v>
      </c>
    </row>
    <row r="12" spans="1:12" ht="25.5" x14ac:dyDescent="0.2">
      <c r="A12" s="1579">
        <v>1.1000000000000001</v>
      </c>
      <c r="B12" s="1580" t="s">
        <v>2776</v>
      </c>
      <c r="C12" s="1516" t="s">
        <v>32</v>
      </c>
      <c r="D12" s="1516" t="s">
        <v>603</v>
      </c>
      <c r="E12" s="1520">
        <v>1</v>
      </c>
      <c r="F12" s="1520">
        <v>1</v>
      </c>
      <c r="G12" s="1403">
        <f t="shared" ref="G12:G37" si="0">+F12/E12*100</f>
        <v>100</v>
      </c>
      <c r="H12" s="1404">
        <v>4456</v>
      </c>
      <c r="I12" s="1403">
        <v>1535</v>
      </c>
      <c r="J12" s="1403">
        <f t="shared" ref="J12:J37" si="1">+I12/H12*100</f>
        <v>34.447935368043083</v>
      </c>
    </row>
    <row r="13" spans="1:12" ht="25.5" x14ac:dyDescent="0.2">
      <c r="A13" s="1579">
        <v>1.2</v>
      </c>
      <c r="B13" s="1580" t="s">
        <v>2777</v>
      </c>
      <c r="C13" s="1516" t="s">
        <v>32</v>
      </c>
      <c r="D13" s="1516" t="s">
        <v>604</v>
      </c>
      <c r="E13" s="1520">
        <v>1</v>
      </c>
      <c r="F13" s="1520">
        <v>1</v>
      </c>
      <c r="G13" s="1403">
        <f t="shared" si="0"/>
        <v>100</v>
      </c>
      <c r="H13" s="1478">
        <v>1920</v>
      </c>
      <c r="I13" s="1431">
        <v>1920</v>
      </c>
      <c r="J13" s="1403">
        <f t="shared" si="1"/>
        <v>100</v>
      </c>
    </row>
    <row r="14" spans="1:12" ht="18.75" customHeight="1" x14ac:dyDescent="0.2">
      <c r="A14" s="1579">
        <v>1.3</v>
      </c>
      <c r="B14" s="1580" t="s">
        <v>2778</v>
      </c>
      <c r="C14" s="1516" t="s">
        <v>32</v>
      </c>
      <c r="D14" s="1516" t="s">
        <v>603</v>
      </c>
      <c r="E14" s="1520">
        <v>1</v>
      </c>
      <c r="F14" s="1520">
        <v>0</v>
      </c>
      <c r="G14" s="1403">
        <f t="shared" si="0"/>
        <v>0</v>
      </c>
      <c r="H14" s="1478">
        <v>2535</v>
      </c>
      <c r="I14" s="1478">
        <v>0</v>
      </c>
      <c r="J14" s="1403">
        <f t="shared" si="1"/>
        <v>0</v>
      </c>
    </row>
    <row r="15" spans="1:12" ht="38.25" x14ac:dyDescent="0.2">
      <c r="A15" s="1412">
        <v>2</v>
      </c>
      <c r="B15" s="1576" t="s">
        <v>617</v>
      </c>
      <c r="C15" s="1421"/>
      <c r="D15" s="1516"/>
      <c r="E15" s="1420"/>
      <c r="F15" s="1420"/>
      <c r="G15" s="1398"/>
      <c r="H15" s="1473">
        <f>+H16+H17</f>
        <v>1920</v>
      </c>
      <c r="I15" s="1474">
        <f>+I16+I17</f>
        <v>1920</v>
      </c>
      <c r="J15" s="1398">
        <f t="shared" si="1"/>
        <v>100</v>
      </c>
    </row>
    <row r="16" spans="1:12" ht="27" customHeight="1" x14ac:dyDescent="0.2">
      <c r="A16" s="1579">
        <v>2.1</v>
      </c>
      <c r="B16" s="1580" t="s">
        <v>2775</v>
      </c>
      <c r="C16" s="1516" t="s">
        <v>32</v>
      </c>
      <c r="D16" s="1516" t="s">
        <v>604</v>
      </c>
      <c r="E16" s="1520">
        <v>1</v>
      </c>
      <c r="F16" s="1520">
        <v>1</v>
      </c>
      <c r="G16" s="1403">
        <f t="shared" si="0"/>
        <v>100</v>
      </c>
      <c r="H16" s="1478">
        <v>1920</v>
      </c>
      <c r="I16" s="1431">
        <v>1920</v>
      </c>
      <c r="J16" s="1403">
        <f t="shared" si="1"/>
        <v>100</v>
      </c>
    </row>
    <row r="17" spans="1:10" ht="40.5" customHeight="1" x14ac:dyDescent="0.2">
      <c r="A17" s="1579">
        <v>2.2000000000000002</v>
      </c>
      <c r="B17" s="1580" t="s">
        <v>1072</v>
      </c>
      <c r="C17" s="1516" t="s">
        <v>32</v>
      </c>
      <c r="D17" s="1516" t="s">
        <v>59</v>
      </c>
      <c r="E17" s="1520">
        <v>2</v>
      </c>
      <c r="F17" s="1520">
        <v>0</v>
      </c>
      <c r="G17" s="1403">
        <f t="shared" si="0"/>
        <v>0</v>
      </c>
      <c r="H17" s="1478">
        <v>0</v>
      </c>
      <c r="I17" s="1478">
        <v>0</v>
      </c>
      <c r="J17" s="1403">
        <v>0</v>
      </c>
    </row>
    <row r="18" spans="1:10" ht="25.5" x14ac:dyDescent="0.2">
      <c r="A18" s="1439">
        <v>3</v>
      </c>
      <c r="B18" s="1581" t="s">
        <v>1073</v>
      </c>
      <c r="C18" s="1582"/>
      <c r="D18" s="1582"/>
      <c r="E18" s="1583"/>
      <c r="F18" s="1583"/>
      <c r="G18" s="1398"/>
      <c r="H18" s="1473">
        <f>+H19</f>
        <v>3000</v>
      </c>
      <c r="I18" s="1474">
        <f>+I19</f>
        <v>0</v>
      </c>
      <c r="J18" s="1398">
        <f t="shared" si="1"/>
        <v>0</v>
      </c>
    </row>
    <row r="19" spans="1:10" ht="25.5" x14ac:dyDescent="0.2">
      <c r="A19" s="1579">
        <v>3.1</v>
      </c>
      <c r="B19" s="1580" t="s">
        <v>2774</v>
      </c>
      <c r="C19" s="1516" t="s">
        <v>32</v>
      </c>
      <c r="D19" s="1516" t="s">
        <v>77</v>
      </c>
      <c r="E19" s="1520">
        <v>4</v>
      </c>
      <c r="F19" s="1520">
        <v>2</v>
      </c>
      <c r="G19" s="1403">
        <f t="shared" si="0"/>
        <v>50</v>
      </c>
      <c r="H19" s="1478">
        <v>3000</v>
      </c>
      <c r="I19" s="1431">
        <v>0</v>
      </c>
      <c r="J19" s="1403">
        <f t="shared" si="1"/>
        <v>0</v>
      </c>
    </row>
    <row r="20" spans="1:10" ht="25.5" x14ac:dyDescent="0.2">
      <c r="A20" s="1439">
        <v>4</v>
      </c>
      <c r="B20" s="1581" t="s">
        <v>610</v>
      </c>
      <c r="C20" s="1582"/>
      <c r="D20" s="1582"/>
      <c r="E20" s="1583"/>
      <c r="F20" s="1583"/>
      <c r="G20" s="1398"/>
      <c r="H20" s="1473">
        <f>+H21</f>
        <v>540</v>
      </c>
      <c r="I20" s="1474">
        <f>+I21</f>
        <v>540</v>
      </c>
      <c r="J20" s="1398">
        <f t="shared" si="1"/>
        <v>100</v>
      </c>
    </row>
    <row r="21" spans="1:10" ht="25.5" x14ac:dyDescent="0.2">
      <c r="A21" s="1579">
        <v>4.0999999999999996</v>
      </c>
      <c r="B21" s="1580" t="s">
        <v>2773</v>
      </c>
      <c r="C21" s="1516" t="s">
        <v>32</v>
      </c>
      <c r="D21" s="1441" t="s">
        <v>605</v>
      </c>
      <c r="E21" s="1520">
        <v>12</v>
      </c>
      <c r="F21" s="1520">
        <v>1</v>
      </c>
      <c r="G21" s="1403">
        <f t="shared" si="0"/>
        <v>8.3333333333333321</v>
      </c>
      <c r="H21" s="1478">
        <v>540</v>
      </c>
      <c r="I21" s="1431">
        <v>540</v>
      </c>
      <c r="J21" s="1403">
        <f t="shared" si="1"/>
        <v>100</v>
      </c>
    </row>
    <row r="22" spans="1:10" ht="28.5" customHeight="1" x14ac:dyDescent="0.2">
      <c r="A22" s="1439">
        <v>5</v>
      </c>
      <c r="B22" s="1581" t="s">
        <v>611</v>
      </c>
      <c r="C22" s="1582"/>
      <c r="D22" s="1582"/>
      <c r="E22" s="1583"/>
      <c r="F22" s="1583"/>
      <c r="G22" s="1398"/>
      <c r="H22" s="1473">
        <f>+H23+H24</f>
        <v>2000</v>
      </c>
      <c r="I22" s="1474">
        <f>+I23+I24</f>
        <v>1000</v>
      </c>
      <c r="J22" s="1398">
        <f t="shared" si="1"/>
        <v>50</v>
      </c>
    </row>
    <row r="23" spans="1:10" ht="27.75" customHeight="1" x14ac:dyDescent="0.2">
      <c r="A23" s="1579">
        <v>5.0999999999999996</v>
      </c>
      <c r="B23" s="1580" t="s">
        <v>2771</v>
      </c>
      <c r="C23" s="1516"/>
      <c r="D23" s="1441" t="s">
        <v>606</v>
      </c>
      <c r="E23" s="1520">
        <v>2</v>
      </c>
      <c r="F23" s="1520">
        <v>1</v>
      </c>
      <c r="G23" s="1403">
        <f t="shared" si="0"/>
        <v>50</v>
      </c>
      <c r="H23" s="1478">
        <v>1000</v>
      </c>
      <c r="I23" s="1431">
        <v>500</v>
      </c>
      <c r="J23" s="1403">
        <f t="shared" si="1"/>
        <v>50</v>
      </c>
    </row>
    <row r="24" spans="1:10" ht="25.5" x14ac:dyDescent="0.2">
      <c r="A24" s="1579">
        <v>5.2</v>
      </c>
      <c r="B24" s="1580" t="s">
        <v>2770</v>
      </c>
      <c r="C24" s="1516"/>
      <c r="D24" s="1516" t="s">
        <v>395</v>
      </c>
      <c r="E24" s="1520">
        <v>100</v>
      </c>
      <c r="F24" s="1520">
        <v>5</v>
      </c>
      <c r="G24" s="1403">
        <f t="shared" si="0"/>
        <v>5</v>
      </c>
      <c r="H24" s="1478">
        <v>1000</v>
      </c>
      <c r="I24" s="1431">
        <v>500</v>
      </c>
      <c r="J24" s="1403">
        <f t="shared" si="1"/>
        <v>50</v>
      </c>
    </row>
    <row r="25" spans="1:10" ht="25.5" x14ac:dyDescent="0.2">
      <c r="A25" s="1439">
        <v>6</v>
      </c>
      <c r="B25" s="1581" t="s">
        <v>612</v>
      </c>
      <c r="C25" s="1582" t="s">
        <v>32</v>
      </c>
      <c r="D25" s="1584" t="s">
        <v>2734</v>
      </c>
      <c r="E25" s="1583"/>
      <c r="F25" s="1583"/>
      <c r="G25" s="1398"/>
      <c r="H25" s="1473"/>
      <c r="I25" s="1473"/>
      <c r="J25" s="1398"/>
    </row>
    <row r="26" spans="1:10" ht="25.5" x14ac:dyDescent="0.2">
      <c r="A26" s="1579">
        <v>6.1</v>
      </c>
      <c r="B26" s="1580" t="s">
        <v>2769</v>
      </c>
      <c r="C26" s="1516" t="s">
        <v>206</v>
      </c>
      <c r="D26" s="1441" t="s">
        <v>607</v>
      </c>
      <c r="E26" s="1520">
        <v>1</v>
      </c>
      <c r="F26" s="1520">
        <v>0</v>
      </c>
      <c r="G26" s="1403">
        <v>0</v>
      </c>
      <c r="H26" s="1478">
        <v>0</v>
      </c>
      <c r="I26" s="1478">
        <v>0</v>
      </c>
      <c r="J26" s="1403">
        <v>0</v>
      </c>
    </row>
    <row r="27" spans="1:10" ht="25.5" x14ac:dyDescent="0.2">
      <c r="A27" s="1439">
        <v>7</v>
      </c>
      <c r="B27" s="1581" t="s">
        <v>613</v>
      </c>
      <c r="C27" s="1582" t="s">
        <v>2733</v>
      </c>
      <c r="D27" s="1582" t="s">
        <v>604</v>
      </c>
      <c r="E27" s="1583"/>
      <c r="F27" s="1583"/>
      <c r="G27" s="1398"/>
      <c r="H27" s="1473">
        <f>SUM(H28:H33)</f>
        <v>18202</v>
      </c>
      <c r="I27" s="1474">
        <f>SUM(I28:I33)</f>
        <v>12598.07</v>
      </c>
      <c r="J27" s="1398">
        <f t="shared" si="1"/>
        <v>69.212559059444018</v>
      </c>
    </row>
    <row r="28" spans="1:10" ht="38.25" x14ac:dyDescent="0.2">
      <c r="A28" s="1579">
        <v>7.1</v>
      </c>
      <c r="B28" s="1580" t="s">
        <v>2768</v>
      </c>
      <c r="C28" s="1441" t="s">
        <v>608</v>
      </c>
      <c r="D28" s="1516" t="s">
        <v>1074</v>
      </c>
      <c r="E28" s="1520">
        <v>2</v>
      </c>
      <c r="F28" s="1520">
        <v>2</v>
      </c>
      <c r="G28" s="1403">
        <f t="shared" si="0"/>
        <v>100</v>
      </c>
      <c r="H28" s="1478">
        <v>4452</v>
      </c>
      <c r="I28" s="1431">
        <v>4452</v>
      </c>
      <c r="J28" s="1403">
        <f t="shared" si="1"/>
        <v>100</v>
      </c>
    </row>
    <row r="29" spans="1:10" ht="38.25" x14ac:dyDescent="0.2">
      <c r="A29" s="1579">
        <v>7.2</v>
      </c>
      <c r="B29" s="1585" t="s">
        <v>1075</v>
      </c>
      <c r="C29" s="1586" t="s">
        <v>206</v>
      </c>
      <c r="D29" s="1516" t="s">
        <v>168</v>
      </c>
      <c r="E29" s="1520">
        <v>10</v>
      </c>
      <c r="F29" s="1520">
        <v>1</v>
      </c>
      <c r="G29" s="1403">
        <f t="shared" si="0"/>
        <v>10</v>
      </c>
      <c r="H29" s="1478">
        <v>3000</v>
      </c>
      <c r="I29" s="1431">
        <f>372.4-0.33</f>
        <v>372.07</v>
      </c>
      <c r="J29" s="1403">
        <f t="shared" si="1"/>
        <v>12.402333333333333</v>
      </c>
    </row>
    <row r="30" spans="1:10" ht="26.25" customHeight="1" x14ac:dyDescent="0.2">
      <c r="A30" s="1579">
        <v>7.3</v>
      </c>
      <c r="B30" s="1580" t="s">
        <v>2772</v>
      </c>
      <c r="C30" s="1516" t="s">
        <v>73</v>
      </c>
      <c r="D30" s="1441" t="s">
        <v>609</v>
      </c>
      <c r="E30" s="1520">
        <v>4</v>
      </c>
      <c r="F30" s="1520">
        <v>3</v>
      </c>
      <c r="G30" s="1403">
        <f t="shared" si="0"/>
        <v>75</v>
      </c>
      <c r="H30" s="1478">
        <v>3550</v>
      </c>
      <c r="I30" s="1431">
        <v>2800</v>
      </c>
      <c r="J30" s="1403">
        <f t="shared" si="1"/>
        <v>78.873239436619713</v>
      </c>
    </row>
    <row r="31" spans="1:10" ht="19.5" customHeight="1" x14ac:dyDescent="0.2">
      <c r="A31" s="1500">
        <v>8</v>
      </c>
      <c r="B31" s="1587" t="s">
        <v>1076</v>
      </c>
      <c r="C31" s="1477" t="s">
        <v>37</v>
      </c>
      <c r="D31" s="1477" t="s">
        <v>490</v>
      </c>
      <c r="E31" s="1420">
        <v>2</v>
      </c>
      <c r="F31" s="1588">
        <v>0.5</v>
      </c>
      <c r="G31" s="1403">
        <f t="shared" si="0"/>
        <v>25</v>
      </c>
      <c r="H31" s="1589">
        <v>6000</v>
      </c>
      <c r="I31" s="1590">
        <v>1800</v>
      </c>
      <c r="J31" s="1403">
        <f t="shared" si="1"/>
        <v>30</v>
      </c>
    </row>
    <row r="32" spans="1:10" ht="19.5" customHeight="1" x14ac:dyDescent="0.2">
      <c r="A32" s="1500">
        <v>9</v>
      </c>
      <c r="B32" s="1580" t="s">
        <v>1077</v>
      </c>
      <c r="C32" s="1477" t="s">
        <v>32</v>
      </c>
      <c r="D32" s="1477" t="s">
        <v>1078</v>
      </c>
      <c r="E32" s="1588">
        <v>6</v>
      </c>
      <c r="F32" s="1588">
        <v>1</v>
      </c>
      <c r="G32" s="1403">
        <f t="shared" si="0"/>
        <v>16.666666666666664</v>
      </c>
      <c r="H32" s="1589">
        <v>1200</v>
      </c>
      <c r="I32" s="1590">
        <v>3174</v>
      </c>
      <c r="J32" s="1403">
        <f t="shared" si="1"/>
        <v>264.5</v>
      </c>
    </row>
    <row r="33" spans="1:10" ht="19.5" customHeight="1" x14ac:dyDescent="0.2">
      <c r="A33" s="1500">
        <v>10</v>
      </c>
      <c r="B33" s="1580" t="s">
        <v>1079</v>
      </c>
      <c r="C33" s="1477" t="s">
        <v>73</v>
      </c>
      <c r="D33" s="1477" t="s">
        <v>604</v>
      </c>
      <c r="E33" s="1420"/>
      <c r="F33" s="1420"/>
      <c r="G33" s="1398"/>
      <c r="H33" s="1589"/>
      <c r="I33" s="1591"/>
      <c r="J33" s="1398"/>
    </row>
    <row r="34" spans="1:10" ht="19.5" customHeight="1" x14ac:dyDescent="0.2">
      <c r="A34" s="1500">
        <v>11</v>
      </c>
      <c r="B34" s="1581" t="s">
        <v>548</v>
      </c>
      <c r="C34" s="1592"/>
      <c r="D34" s="1592"/>
      <c r="E34" s="1593"/>
      <c r="F34" s="1593"/>
      <c r="G34" s="1398"/>
      <c r="H34" s="1594">
        <f>+H35+H36+H37</f>
        <v>38690</v>
      </c>
      <c r="I34" s="1595">
        <f>+I35+I36+I37</f>
        <v>15590.57</v>
      </c>
      <c r="J34" s="1398">
        <f t="shared" si="1"/>
        <v>40.296123029206512</v>
      </c>
    </row>
    <row r="35" spans="1:10" ht="19.5" customHeight="1" x14ac:dyDescent="0.2">
      <c r="A35" s="1596">
        <v>11.1</v>
      </c>
      <c r="B35" s="1580" t="s">
        <v>546</v>
      </c>
      <c r="C35" s="1477" t="s">
        <v>37</v>
      </c>
      <c r="D35" s="1516" t="s">
        <v>38</v>
      </c>
      <c r="E35" s="1588">
        <v>1</v>
      </c>
      <c r="F35" s="1588">
        <v>1</v>
      </c>
      <c r="G35" s="1403">
        <f t="shared" si="0"/>
        <v>100</v>
      </c>
      <c r="H35" s="1478">
        <v>36473</v>
      </c>
      <c r="I35" s="1478">
        <v>14481.57</v>
      </c>
      <c r="J35" s="1398">
        <f t="shared" si="1"/>
        <v>39.704904998217863</v>
      </c>
    </row>
    <row r="36" spans="1:10" ht="18.75" customHeight="1" x14ac:dyDescent="0.2">
      <c r="A36" s="1596">
        <v>11.2</v>
      </c>
      <c r="B36" s="1580" t="s">
        <v>614</v>
      </c>
      <c r="C36" s="1477" t="s">
        <v>37</v>
      </c>
      <c r="D36" s="1516" t="s">
        <v>38</v>
      </c>
      <c r="E36" s="1588">
        <v>1</v>
      </c>
      <c r="F36" s="1588">
        <v>1</v>
      </c>
      <c r="G36" s="1403">
        <f t="shared" si="0"/>
        <v>100</v>
      </c>
      <c r="H36" s="1478">
        <v>1248</v>
      </c>
      <c r="I36" s="1431">
        <v>624</v>
      </c>
      <c r="J36" s="1398">
        <f t="shared" si="1"/>
        <v>50</v>
      </c>
    </row>
    <row r="37" spans="1:10" ht="19.5" customHeight="1" x14ac:dyDescent="0.2">
      <c r="A37" s="1596">
        <v>11.3</v>
      </c>
      <c r="B37" s="1580" t="s">
        <v>615</v>
      </c>
      <c r="C37" s="1477" t="s">
        <v>37</v>
      </c>
      <c r="D37" s="1477" t="s">
        <v>618</v>
      </c>
      <c r="E37" s="1588">
        <v>100</v>
      </c>
      <c r="F37" s="1588">
        <v>50</v>
      </c>
      <c r="G37" s="1398">
        <f t="shared" si="0"/>
        <v>50</v>
      </c>
      <c r="H37" s="1589">
        <v>969</v>
      </c>
      <c r="I37" s="1431">
        <v>485</v>
      </c>
      <c r="J37" s="1398">
        <f t="shared" si="1"/>
        <v>50.051599587203299</v>
      </c>
    </row>
    <row r="38" spans="1:10" ht="18" customHeight="1" x14ac:dyDescent="0.2">
      <c r="A38" s="1597"/>
      <c r="B38" s="1598" t="s">
        <v>1082</v>
      </c>
      <c r="C38" s="1599"/>
      <c r="D38" s="1600"/>
      <c r="E38" s="1601"/>
      <c r="F38" s="1601"/>
      <c r="G38" s="1601"/>
      <c r="H38" s="1602">
        <f>SUM(H39:H52)</f>
        <v>740148</v>
      </c>
      <c r="I38" s="1425">
        <f>SUM(I39:I52)</f>
        <v>326673</v>
      </c>
      <c r="J38" s="1425">
        <f>+I38/H38*100</f>
        <v>44.136172765446915</v>
      </c>
    </row>
    <row r="39" spans="1:10" ht="25.5" x14ac:dyDescent="0.2">
      <c r="A39" s="1603">
        <v>1</v>
      </c>
      <c r="B39" s="1435" t="s">
        <v>1083</v>
      </c>
      <c r="C39" s="1428" t="s">
        <v>37</v>
      </c>
      <c r="D39" s="1604" t="s">
        <v>75</v>
      </c>
      <c r="E39" s="1436">
        <v>120</v>
      </c>
      <c r="F39" s="1436">
        <v>40</v>
      </c>
      <c r="G39" s="1605">
        <f>+F39/E39*100</f>
        <v>33.333333333333329</v>
      </c>
      <c r="H39" s="1436">
        <v>2117</v>
      </c>
      <c r="I39" s="1437">
        <v>700</v>
      </c>
      <c r="J39" s="1437">
        <f>+I39/H39*100</f>
        <v>33.065658951346244</v>
      </c>
    </row>
    <row r="40" spans="1:10" ht="27.75" customHeight="1" x14ac:dyDescent="0.2">
      <c r="A40" s="1603">
        <v>2</v>
      </c>
      <c r="B40" s="1435" t="s">
        <v>1084</v>
      </c>
      <c r="C40" s="1428" t="s">
        <v>37</v>
      </c>
      <c r="D40" s="1606" t="s">
        <v>1085</v>
      </c>
      <c r="E40" s="1436">
        <v>100</v>
      </c>
      <c r="F40" s="1436">
        <v>100</v>
      </c>
      <c r="G40" s="1605">
        <f t="shared" ref="G40:G52" si="2">+F40/E40*100</f>
        <v>100</v>
      </c>
      <c r="H40" s="1436">
        <v>1567</v>
      </c>
      <c r="I40" s="1437">
        <v>1567</v>
      </c>
      <c r="J40" s="1437">
        <f>+I40/H40*100</f>
        <v>100</v>
      </c>
    </row>
    <row r="41" spans="1:10" ht="25.5" x14ac:dyDescent="0.2">
      <c r="A41" s="1603">
        <v>3</v>
      </c>
      <c r="B41" s="1435" t="s">
        <v>1086</v>
      </c>
      <c r="C41" s="1428" t="s">
        <v>37</v>
      </c>
      <c r="D41" s="1604" t="s">
        <v>34</v>
      </c>
      <c r="E41" s="1436">
        <v>50</v>
      </c>
      <c r="F41" s="1436">
        <v>21</v>
      </c>
      <c r="G41" s="1605">
        <f t="shared" si="2"/>
        <v>42</v>
      </c>
      <c r="H41" s="1436">
        <v>1500</v>
      </c>
      <c r="I41" s="1437">
        <v>630</v>
      </c>
      <c r="J41" s="1437">
        <f>+I41/H41*100</f>
        <v>42</v>
      </c>
    </row>
    <row r="42" spans="1:10" ht="25.5" x14ac:dyDescent="0.2">
      <c r="A42" s="1603">
        <v>4</v>
      </c>
      <c r="B42" s="1435" t="s">
        <v>1087</v>
      </c>
      <c r="C42" s="1428" t="s">
        <v>37</v>
      </c>
      <c r="D42" s="1604" t="s">
        <v>34</v>
      </c>
      <c r="E42" s="1436">
        <v>30</v>
      </c>
      <c r="F42" s="1436">
        <v>8</v>
      </c>
      <c r="G42" s="1605">
        <f t="shared" si="2"/>
        <v>26.666666666666668</v>
      </c>
      <c r="H42" s="1436">
        <v>5000</v>
      </c>
      <c r="I42" s="1437">
        <v>1300</v>
      </c>
      <c r="J42" s="1437">
        <f>+I42/H42*100</f>
        <v>26</v>
      </c>
    </row>
    <row r="43" spans="1:10" ht="25.5" customHeight="1" x14ac:dyDescent="0.2">
      <c r="A43" s="1603">
        <v>5</v>
      </c>
      <c r="B43" s="1435" t="s">
        <v>1088</v>
      </c>
      <c r="C43" s="1428" t="s">
        <v>37</v>
      </c>
      <c r="D43" s="1606" t="s">
        <v>1089</v>
      </c>
      <c r="E43" s="1436">
        <v>9</v>
      </c>
      <c r="F43" s="1436">
        <v>9</v>
      </c>
      <c r="G43" s="1605">
        <f t="shared" si="2"/>
        <v>100</v>
      </c>
      <c r="H43" s="1436">
        <v>5000</v>
      </c>
      <c r="I43" s="1437">
        <v>5000</v>
      </c>
      <c r="J43" s="1437">
        <f t="shared" ref="J43:J52" si="3">+I43/H43*100</f>
        <v>100</v>
      </c>
    </row>
    <row r="44" spans="1:10" ht="25.5" x14ac:dyDescent="0.2">
      <c r="A44" s="1603">
        <v>6</v>
      </c>
      <c r="B44" s="1435" t="s">
        <v>1090</v>
      </c>
      <c r="C44" s="1428" t="s">
        <v>37</v>
      </c>
      <c r="D44" s="1604" t="s">
        <v>97</v>
      </c>
      <c r="E44" s="1436">
        <v>50</v>
      </c>
      <c r="F44" s="1436">
        <v>47</v>
      </c>
      <c r="G44" s="1605">
        <f t="shared" si="2"/>
        <v>94</v>
      </c>
      <c r="H44" s="1436">
        <v>8000</v>
      </c>
      <c r="I44" s="1437">
        <v>7550</v>
      </c>
      <c r="J44" s="1437">
        <f t="shared" si="3"/>
        <v>94.375</v>
      </c>
    </row>
    <row r="45" spans="1:10" ht="25.5" x14ac:dyDescent="0.2">
      <c r="A45" s="1603">
        <v>7</v>
      </c>
      <c r="B45" s="1435" t="s">
        <v>1091</v>
      </c>
      <c r="C45" s="1428" t="s">
        <v>37</v>
      </c>
      <c r="D45" s="1604" t="s">
        <v>97</v>
      </c>
      <c r="E45" s="1436">
        <v>60</v>
      </c>
      <c r="F45" s="1436">
        <v>25</v>
      </c>
      <c r="G45" s="1605">
        <f t="shared" si="2"/>
        <v>41.666666666666671</v>
      </c>
      <c r="H45" s="1436">
        <v>7000</v>
      </c>
      <c r="I45" s="1437">
        <v>2900</v>
      </c>
      <c r="J45" s="1437">
        <f t="shared" si="3"/>
        <v>41.428571428571431</v>
      </c>
    </row>
    <row r="46" spans="1:10" ht="25.5" x14ac:dyDescent="0.2">
      <c r="A46" s="1603">
        <v>8</v>
      </c>
      <c r="B46" s="1435" t="s">
        <v>1092</v>
      </c>
      <c r="C46" s="1428" t="s">
        <v>37</v>
      </c>
      <c r="D46" s="1606" t="s">
        <v>1093</v>
      </c>
      <c r="E46" s="1436">
        <v>50</v>
      </c>
      <c r="F46" s="1436">
        <v>26</v>
      </c>
      <c r="G46" s="1605">
        <f t="shared" si="2"/>
        <v>52</v>
      </c>
      <c r="H46" s="1436">
        <v>7000</v>
      </c>
      <c r="I46" s="1437">
        <v>3500</v>
      </c>
      <c r="J46" s="1437">
        <f t="shared" si="3"/>
        <v>50</v>
      </c>
    </row>
    <row r="47" spans="1:10" ht="18" customHeight="1" x14ac:dyDescent="0.2">
      <c r="A47" s="1603">
        <v>9</v>
      </c>
      <c r="B47" s="1607" t="s">
        <v>1094</v>
      </c>
      <c r="C47" s="1428" t="s">
        <v>37</v>
      </c>
      <c r="D47" s="1604" t="s">
        <v>111</v>
      </c>
      <c r="E47" s="1436">
        <v>4</v>
      </c>
      <c r="F47" s="1436">
        <v>2</v>
      </c>
      <c r="G47" s="1605">
        <f t="shared" si="2"/>
        <v>50</v>
      </c>
      <c r="H47" s="1436">
        <v>54344</v>
      </c>
      <c r="I47" s="1437">
        <v>14962</v>
      </c>
      <c r="J47" s="1437">
        <f t="shared" si="3"/>
        <v>27.532018254085088</v>
      </c>
    </row>
    <row r="48" spans="1:10" ht="17.25" customHeight="1" x14ac:dyDescent="0.2">
      <c r="A48" s="1603">
        <v>10</v>
      </c>
      <c r="B48" s="1607" t="s">
        <v>1095</v>
      </c>
      <c r="C48" s="1428" t="s">
        <v>37</v>
      </c>
      <c r="D48" s="1604" t="s">
        <v>34</v>
      </c>
      <c r="E48" s="1436">
        <v>8</v>
      </c>
      <c r="F48" s="1436">
        <v>25</v>
      </c>
      <c r="G48" s="1605">
        <f t="shared" si="2"/>
        <v>312.5</v>
      </c>
      <c r="H48" s="1436">
        <v>1000</v>
      </c>
      <c r="I48" s="1437">
        <v>500</v>
      </c>
      <c r="J48" s="1437">
        <f t="shared" si="3"/>
        <v>50</v>
      </c>
    </row>
    <row r="49" spans="1:10" ht="17.25" customHeight="1" x14ac:dyDescent="0.2">
      <c r="A49" s="1603">
        <v>11</v>
      </c>
      <c r="B49" s="1607" t="s">
        <v>1096</v>
      </c>
      <c r="C49" s="1428" t="s">
        <v>37</v>
      </c>
      <c r="D49" s="1604" t="s">
        <v>34</v>
      </c>
      <c r="E49" s="1429">
        <v>8</v>
      </c>
      <c r="F49" s="1429">
        <v>2</v>
      </c>
      <c r="G49" s="1605">
        <f t="shared" si="2"/>
        <v>25</v>
      </c>
      <c r="H49" s="1436">
        <v>10000</v>
      </c>
      <c r="I49" s="1437">
        <v>2500</v>
      </c>
      <c r="J49" s="1437">
        <f t="shared" si="3"/>
        <v>25</v>
      </c>
    </row>
    <row r="50" spans="1:10" ht="18" customHeight="1" x14ac:dyDescent="0.2">
      <c r="A50" s="1603">
        <v>12</v>
      </c>
      <c r="B50" s="1607" t="s">
        <v>1097</v>
      </c>
      <c r="C50" s="1428" t="s">
        <v>37</v>
      </c>
      <c r="D50" s="1604" t="s">
        <v>111</v>
      </c>
      <c r="E50" s="1436">
        <v>200</v>
      </c>
      <c r="F50" s="1436">
        <v>51</v>
      </c>
      <c r="G50" s="1605">
        <f t="shared" si="2"/>
        <v>25.5</v>
      </c>
      <c r="H50" s="1436">
        <v>24670</v>
      </c>
      <c r="I50" s="1437">
        <v>6300</v>
      </c>
      <c r="J50" s="1437">
        <f t="shared" si="3"/>
        <v>25.537089582488854</v>
      </c>
    </row>
    <row r="51" spans="1:10" ht="17.25" customHeight="1" x14ac:dyDescent="0.2">
      <c r="A51" s="1603">
        <v>13</v>
      </c>
      <c r="B51" s="1435" t="s">
        <v>1098</v>
      </c>
      <c r="C51" s="1428" t="s">
        <v>37</v>
      </c>
      <c r="D51" s="1604" t="s">
        <v>485</v>
      </c>
      <c r="E51" s="1436">
        <v>18</v>
      </c>
      <c r="F51" s="1436">
        <v>6</v>
      </c>
      <c r="G51" s="1605">
        <f t="shared" si="2"/>
        <v>33.333333333333329</v>
      </c>
      <c r="H51" s="1436">
        <v>90000</v>
      </c>
      <c r="I51" s="1437">
        <v>30000</v>
      </c>
      <c r="J51" s="1437">
        <f t="shared" si="3"/>
        <v>33.333333333333329</v>
      </c>
    </row>
    <row r="52" spans="1:10" ht="16.5" customHeight="1" x14ac:dyDescent="0.2">
      <c r="A52" s="1603">
        <v>14</v>
      </c>
      <c r="B52" s="1596" t="s">
        <v>1099</v>
      </c>
      <c r="C52" s="1428" t="s">
        <v>37</v>
      </c>
      <c r="D52" s="1604" t="s">
        <v>485</v>
      </c>
      <c r="E52" s="1588">
        <v>11</v>
      </c>
      <c r="F52" s="1588">
        <v>10</v>
      </c>
      <c r="G52" s="1605">
        <f t="shared" si="2"/>
        <v>90.909090909090907</v>
      </c>
      <c r="H52" s="1608">
        <f>479513+43437</f>
        <v>522950</v>
      </c>
      <c r="I52" s="1590">
        <v>249264</v>
      </c>
      <c r="J52" s="1437">
        <f t="shared" si="3"/>
        <v>47.664977531312744</v>
      </c>
    </row>
  </sheetData>
  <mergeCells count="10">
    <mergeCell ref="A1:J1"/>
    <mergeCell ref="A2:J2"/>
    <mergeCell ref="C7:G7"/>
    <mergeCell ref="H5:J5"/>
    <mergeCell ref="A3:J3"/>
    <mergeCell ref="A5:A6"/>
    <mergeCell ref="B5:B6"/>
    <mergeCell ref="C5:C6"/>
    <mergeCell ref="D5:G5"/>
    <mergeCell ref="A4:J4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2:J59"/>
  <sheetViews>
    <sheetView view="pageBreakPreview" topLeftCell="A37" zoomScaleNormal="100" zoomScaleSheetLayoutView="100" workbookViewId="0">
      <selection activeCell="B66" sqref="B66"/>
    </sheetView>
  </sheetViews>
  <sheetFormatPr baseColWidth="10" defaultRowHeight="12.75" x14ac:dyDescent="0.2"/>
  <cols>
    <col min="1" max="1" width="4.28515625" style="4" customWidth="1"/>
    <col min="2" max="2" width="61.42578125" style="2" customWidth="1"/>
    <col min="3" max="3" width="16.28515625" style="5" customWidth="1"/>
    <col min="4" max="4" width="14.5703125" style="26" customWidth="1"/>
    <col min="5" max="5" width="12.140625" style="40" customWidth="1"/>
    <col min="6" max="6" width="12.140625" style="2" customWidth="1"/>
    <col min="7" max="7" width="11.7109375" style="2" customWidth="1"/>
    <col min="8" max="8" width="14.140625" style="2" customWidth="1"/>
    <col min="9" max="9" width="13.5703125" style="2" customWidth="1"/>
    <col min="10" max="10" width="11.7109375" style="2" customWidth="1"/>
    <col min="11" max="16384" width="11.42578125" style="2"/>
  </cols>
  <sheetData>
    <row r="2" spans="1:10" ht="18" customHeight="1" x14ac:dyDescent="0.2">
      <c r="A2" s="2356" t="s">
        <v>19</v>
      </c>
      <c r="B2" s="2357"/>
      <c r="C2" s="149"/>
      <c r="D2" s="246"/>
      <c r="E2" s="151"/>
      <c r="F2" s="152"/>
      <c r="G2" s="153"/>
      <c r="H2" s="153"/>
      <c r="I2" s="153"/>
      <c r="J2" s="247"/>
    </row>
    <row r="3" spans="1:10" ht="19.5" customHeight="1" x14ac:dyDescent="0.2">
      <c r="A3" s="2325" t="s">
        <v>2782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ht="18" customHeight="1" x14ac:dyDescent="0.2">
      <c r="A4" s="2336" t="s">
        <v>9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0" ht="18" customHeight="1" x14ac:dyDescent="0.2">
      <c r="A5" s="2339" t="s">
        <v>8</v>
      </c>
      <c r="B5" s="2340"/>
      <c r="C5" s="2340"/>
      <c r="D5" s="2340"/>
      <c r="E5" s="2340"/>
      <c r="F5" s="2340"/>
      <c r="G5" s="2340"/>
      <c r="H5" s="2340"/>
      <c r="I5" s="2340"/>
      <c r="J5" s="2341"/>
    </row>
    <row r="6" spans="1:10" ht="18" customHeight="1" x14ac:dyDescent="0.2">
      <c r="A6" s="2348" t="s">
        <v>0</v>
      </c>
      <c r="B6" s="2348" t="s">
        <v>1</v>
      </c>
      <c r="C6" s="2348" t="s">
        <v>2</v>
      </c>
      <c r="D6" s="2335" t="s">
        <v>773</v>
      </c>
      <c r="E6" s="2335"/>
      <c r="F6" s="2335"/>
      <c r="G6" s="2335"/>
      <c r="H6" s="2335" t="s">
        <v>774</v>
      </c>
      <c r="I6" s="2335"/>
      <c r="J6" s="2335"/>
    </row>
    <row r="7" spans="1:10" ht="24.75" customHeight="1" x14ac:dyDescent="0.2">
      <c r="A7" s="2348"/>
      <c r="B7" s="2348"/>
      <c r="C7" s="2348"/>
      <c r="D7" s="854" t="s">
        <v>3</v>
      </c>
      <c r="E7" s="854" t="s">
        <v>4</v>
      </c>
      <c r="F7" s="854" t="s">
        <v>747</v>
      </c>
      <c r="G7" s="854" t="s">
        <v>746</v>
      </c>
      <c r="H7" s="88" t="s">
        <v>748</v>
      </c>
      <c r="I7" s="854" t="s">
        <v>747</v>
      </c>
      <c r="J7" s="854" t="s">
        <v>746</v>
      </c>
    </row>
    <row r="8" spans="1:10" ht="18.75" customHeight="1" x14ac:dyDescent="0.2">
      <c r="A8" s="90"/>
      <c r="B8" s="2029"/>
      <c r="C8" s="2343" t="s">
        <v>1105</v>
      </c>
      <c r="D8" s="2344"/>
      <c r="E8" s="2344"/>
      <c r="F8" s="2344"/>
      <c r="G8" s="2345"/>
      <c r="H8" s="99">
        <f>+H9</f>
        <v>2204440</v>
      </c>
      <c r="I8" s="111">
        <f>+I9</f>
        <v>492407.76</v>
      </c>
      <c r="J8" s="251">
        <f t="shared" ref="J8:J11" si="0">+I8/H8*100</f>
        <v>22.337090598972985</v>
      </c>
    </row>
    <row r="9" spans="1:10" ht="15.75" customHeight="1" x14ac:dyDescent="0.2">
      <c r="A9" s="201" t="s">
        <v>115</v>
      </c>
      <c r="B9" s="202"/>
      <c r="C9" s="203"/>
      <c r="D9" s="204"/>
      <c r="E9" s="205"/>
      <c r="F9" s="205"/>
      <c r="G9" s="206"/>
      <c r="H9" s="207">
        <f>+H10+H40+H55+H59</f>
        <v>2204440</v>
      </c>
      <c r="I9" s="208">
        <f>+I10+I40+I55+I58</f>
        <v>492407.76</v>
      </c>
      <c r="J9" s="252">
        <f t="shared" si="0"/>
        <v>22.337090598972985</v>
      </c>
    </row>
    <row r="10" spans="1:10" ht="18.75" customHeight="1" x14ac:dyDescent="0.2">
      <c r="A10" s="209" t="s">
        <v>553</v>
      </c>
      <c r="B10" s="210"/>
      <c r="C10" s="211"/>
      <c r="D10" s="212"/>
      <c r="E10" s="213"/>
      <c r="F10" s="213"/>
      <c r="G10" s="214"/>
      <c r="H10" s="214">
        <f>+H11+H17+H21+H33</f>
        <v>236882</v>
      </c>
      <c r="I10" s="215">
        <f>+I11+I17+I21+I33</f>
        <v>30004.17</v>
      </c>
      <c r="J10" s="235">
        <f t="shared" si="0"/>
        <v>12.666293766516661</v>
      </c>
    </row>
    <row r="11" spans="1:10" ht="21.75" customHeight="1" x14ac:dyDescent="0.2">
      <c r="A11" s="209">
        <v>1</v>
      </c>
      <c r="B11" s="210" t="s">
        <v>1100</v>
      </c>
      <c r="C11" s="249"/>
      <c r="D11" s="212"/>
      <c r="E11" s="213"/>
      <c r="F11" s="213"/>
      <c r="G11" s="213"/>
      <c r="H11" s="214">
        <f>SUM(H12:H16)</f>
        <v>67461</v>
      </c>
      <c r="I11" s="215">
        <f>SUM(I12:I16)</f>
        <v>8256.17</v>
      </c>
      <c r="J11" s="235">
        <f t="shared" si="0"/>
        <v>12.238434058196587</v>
      </c>
    </row>
    <row r="12" spans="1:10" ht="25.5" customHeight="1" x14ac:dyDescent="0.2">
      <c r="A12" s="219">
        <v>1.1000000000000001</v>
      </c>
      <c r="B12" s="220" t="s">
        <v>554</v>
      </c>
      <c r="C12" s="217" t="s">
        <v>32</v>
      </c>
      <c r="D12" s="221" t="s">
        <v>485</v>
      </c>
      <c r="E12" s="218">
        <v>500</v>
      </c>
      <c r="F12" s="218">
        <v>439</v>
      </c>
      <c r="G12" s="222">
        <f>+F12/E12*100</f>
        <v>87.8</v>
      </c>
      <c r="H12" s="196">
        <v>12643</v>
      </c>
      <c r="I12" s="198">
        <v>1569</v>
      </c>
      <c r="J12" s="223">
        <f>+I12/H12*100</f>
        <v>12.410029265206044</v>
      </c>
    </row>
    <row r="13" spans="1:10" ht="24" customHeight="1" x14ac:dyDescent="0.2">
      <c r="A13" s="219">
        <v>1.2</v>
      </c>
      <c r="B13" s="220" t="s">
        <v>555</v>
      </c>
      <c r="C13" s="217" t="s">
        <v>32</v>
      </c>
      <c r="D13" s="221" t="s">
        <v>556</v>
      </c>
      <c r="E13" s="218">
        <v>600</v>
      </c>
      <c r="F13" s="218">
        <v>358</v>
      </c>
      <c r="G13" s="222">
        <f t="shared" ref="G13:G59" si="1">+F13/E13*100</f>
        <v>59.666666666666671</v>
      </c>
      <c r="H13" s="196">
        <v>13298</v>
      </c>
      <c r="I13" s="198">
        <v>1651.17</v>
      </c>
      <c r="J13" s="223">
        <f t="shared" ref="J13:J59" si="2">+I13/H13*100</f>
        <v>12.416679199879683</v>
      </c>
    </row>
    <row r="14" spans="1:10" ht="21.75" customHeight="1" x14ac:dyDescent="0.2">
      <c r="A14" s="219">
        <v>1.3</v>
      </c>
      <c r="B14" s="224" t="s">
        <v>1101</v>
      </c>
      <c r="C14" s="225" t="s">
        <v>32</v>
      </c>
      <c r="D14" s="221" t="s">
        <v>116</v>
      </c>
      <c r="E14" s="218">
        <v>900</v>
      </c>
      <c r="F14" s="218">
        <f>455+368</f>
        <v>823</v>
      </c>
      <c r="G14" s="222">
        <f t="shared" si="1"/>
        <v>91.444444444444443</v>
      </c>
      <c r="H14" s="196">
        <v>14729</v>
      </c>
      <c r="I14" s="198">
        <v>1816</v>
      </c>
      <c r="J14" s="223">
        <f t="shared" si="2"/>
        <v>12.329418154660873</v>
      </c>
    </row>
    <row r="15" spans="1:10" ht="21.75" customHeight="1" x14ac:dyDescent="0.2">
      <c r="A15" s="219">
        <v>1.4</v>
      </c>
      <c r="B15" s="224" t="s">
        <v>557</v>
      </c>
      <c r="C15" s="225" t="s">
        <v>32</v>
      </c>
      <c r="D15" s="221" t="s">
        <v>117</v>
      </c>
      <c r="E15" s="218">
        <v>400</v>
      </c>
      <c r="F15" s="218">
        <f>69+5+7+17+11+23</f>
        <v>132</v>
      </c>
      <c r="G15" s="222">
        <f t="shared" si="1"/>
        <v>33</v>
      </c>
      <c r="H15" s="196">
        <v>14023</v>
      </c>
      <c r="I15" s="198">
        <v>1651</v>
      </c>
      <c r="J15" s="223">
        <f t="shared" si="2"/>
        <v>11.773514939741853</v>
      </c>
    </row>
    <row r="16" spans="1:10" ht="20.25" customHeight="1" x14ac:dyDescent="0.2">
      <c r="A16" s="219">
        <v>1.5</v>
      </c>
      <c r="B16" s="224" t="s">
        <v>558</v>
      </c>
      <c r="C16" s="225" t="s">
        <v>32</v>
      </c>
      <c r="D16" s="221" t="s">
        <v>485</v>
      </c>
      <c r="E16" s="218">
        <v>1020</v>
      </c>
      <c r="F16" s="226">
        <f>432+160</f>
        <v>592</v>
      </c>
      <c r="G16" s="222">
        <f t="shared" si="1"/>
        <v>58.039215686274517</v>
      </c>
      <c r="H16" s="196">
        <v>12768</v>
      </c>
      <c r="I16" s="198">
        <v>1569</v>
      </c>
      <c r="J16" s="223">
        <f t="shared" si="2"/>
        <v>12.288533834586467</v>
      </c>
    </row>
    <row r="17" spans="1:10" ht="21.75" customHeight="1" x14ac:dyDescent="0.2">
      <c r="A17" s="209">
        <v>2</v>
      </c>
      <c r="B17" s="209" t="s">
        <v>118</v>
      </c>
      <c r="C17" s="234"/>
      <c r="D17" s="211"/>
      <c r="E17" s="214"/>
      <c r="F17" s="214"/>
      <c r="G17" s="215"/>
      <c r="H17" s="186">
        <f>SUM(H18:H20)</f>
        <v>36191</v>
      </c>
      <c r="I17" s="215">
        <f>SUM(I18:I20)</f>
        <v>4112</v>
      </c>
      <c r="J17" s="235">
        <f t="shared" si="2"/>
        <v>11.361940814014535</v>
      </c>
    </row>
    <row r="18" spans="1:10" ht="21.75" customHeight="1" x14ac:dyDescent="0.2">
      <c r="A18" s="219">
        <v>2.1</v>
      </c>
      <c r="B18" s="224" t="s">
        <v>119</v>
      </c>
      <c r="C18" s="225" t="s">
        <v>32</v>
      </c>
      <c r="D18" s="221" t="s">
        <v>120</v>
      </c>
      <c r="E18" s="218">
        <v>3600</v>
      </c>
      <c r="F18" s="218">
        <v>1434</v>
      </c>
      <c r="G18" s="222">
        <f t="shared" si="1"/>
        <v>39.833333333333329</v>
      </c>
      <c r="H18" s="196">
        <v>13827</v>
      </c>
      <c r="I18" s="198">
        <v>1486</v>
      </c>
      <c r="J18" s="223">
        <f t="shared" si="2"/>
        <v>10.74708902871194</v>
      </c>
    </row>
    <row r="19" spans="1:10" ht="21.75" customHeight="1" x14ac:dyDescent="0.2">
      <c r="A19" s="227">
        <v>2.2000000000000002</v>
      </c>
      <c r="B19" s="228" t="s">
        <v>121</v>
      </c>
      <c r="C19" s="229" t="s">
        <v>32</v>
      </c>
      <c r="D19" s="230" t="s">
        <v>122</v>
      </c>
      <c r="E19" s="218">
        <v>100</v>
      </c>
      <c r="F19" s="218">
        <v>16</v>
      </c>
      <c r="G19" s="222">
        <f t="shared" si="1"/>
        <v>16</v>
      </c>
      <c r="H19" s="196">
        <v>11363</v>
      </c>
      <c r="I19" s="198">
        <v>1321</v>
      </c>
      <c r="J19" s="223">
        <f t="shared" si="2"/>
        <v>11.625451025257414</v>
      </c>
    </row>
    <row r="20" spans="1:10" ht="21.75" customHeight="1" x14ac:dyDescent="0.2">
      <c r="A20" s="219">
        <v>2.2999999999999998</v>
      </c>
      <c r="B20" s="224" t="s">
        <v>123</v>
      </c>
      <c r="C20" s="225" t="s">
        <v>32</v>
      </c>
      <c r="D20" s="221" t="s">
        <v>124</v>
      </c>
      <c r="E20" s="218">
        <v>1200</v>
      </c>
      <c r="F20" s="218">
        <v>506</v>
      </c>
      <c r="G20" s="222">
        <f t="shared" si="1"/>
        <v>42.166666666666671</v>
      </c>
      <c r="H20" s="196">
        <v>11001</v>
      </c>
      <c r="I20" s="198">
        <v>1305</v>
      </c>
      <c r="J20" s="223">
        <f t="shared" si="2"/>
        <v>11.862557949277338</v>
      </c>
    </row>
    <row r="21" spans="1:10" ht="21.75" customHeight="1" x14ac:dyDescent="0.2">
      <c r="A21" s="209">
        <v>3</v>
      </c>
      <c r="B21" s="209" t="s">
        <v>559</v>
      </c>
      <c r="C21" s="248"/>
      <c r="D21" s="249"/>
      <c r="E21" s="213"/>
      <c r="F21" s="213"/>
      <c r="G21" s="250"/>
      <c r="H21" s="186">
        <f>SUM(H22:H32)</f>
        <v>97977</v>
      </c>
      <c r="I21" s="215">
        <f>SUM(I22:I32)</f>
        <v>11286</v>
      </c>
      <c r="J21" s="235">
        <f t="shared" si="2"/>
        <v>11.519029976423038</v>
      </c>
    </row>
    <row r="22" spans="1:10" ht="21.75" customHeight="1" x14ac:dyDescent="0.2">
      <c r="A22" s="219">
        <v>3.1</v>
      </c>
      <c r="B22" s="231" t="s">
        <v>125</v>
      </c>
      <c r="C22" s="225" t="s">
        <v>32</v>
      </c>
      <c r="D22" s="221" t="s">
        <v>117</v>
      </c>
      <c r="E22" s="218">
        <v>9</v>
      </c>
      <c r="F22" s="218">
        <v>0.5</v>
      </c>
      <c r="G22" s="222">
        <f t="shared" si="1"/>
        <v>5.5555555555555554</v>
      </c>
      <c r="H22" s="196">
        <v>4711</v>
      </c>
      <c r="I22" s="198">
        <v>451</v>
      </c>
      <c r="J22" s="223">
        <f t="shared" si="2"/>
        <v>9.573338993844196</v>
      </c>
    </row>
    <row r="23" spans="1:10" ht="21.75" customHeight="1" x14ac:dyDescent="0.2">
      <c r="A23" s="219">
        <v>3.2</v>
      </c>
      <c r="B23" s="224" t="s">
        <v>126</v>
      </c>
      <c r="C23" s="225" t="s">
        <v>32</v>
      </c>
      <c r="D23" s="221" t="s">
        <v>122</v>
      </c>
      <c r="E23" s="218">
        <v>12</v>
      </c>
      <c r="F23" s="218">
        <v>2</v>
      </c>
      <c r="G23" s="222">
        <f t="shared" si="1"/>
        <v>16.666666666666664</v>
      </c>
      <c r="H23" s="196">
        <v>4181</v>
      </c>
      <c r="I23" s="198">
        <v>455</v>
      </c>
      <c r="J23" s="223">
        <f t="shared" si="2"/>
        <v>10.882563979909113</v>
      </c>
    </row>
    <row r="24" spans="1:10" ht="21.75" customHeight="1" x14ac:dyDescent="0.2">
      <c r="A24" s="219">
        <v>3.3</v>
      </c>
      <c r="B24" s="224" t="s">
        <v>127</v>
      </c>
      <c r="C24" s="225" t="s">
        <v>32</v>
      </c>
      <c r="D24" s="221" t="s">
        <v>114</v>
      </c>
      <c r="E24" s="218">
        <v>2</v>
      </c>
      <c r="F24" s="218">
        <v>1</v>
      </c>
      <c r="G24" s="222">
        <f t="shared" si="1"/>
        <v>50</v>
      </c>
      <c r="H24" s="196">
        <v>5771</v>
      </c>
      <c r="I24" s="198">
        <v>677</v>
      </c>
      <c r="J24" s="223">
        <f t="shared" si="2"/>
        <v>11.731069138797436</v>
      </c>
    </row>
    <row r="25" spans="1:10" ht="21.75" customHeight="1" x14ac:dyDescent="0.2">
      <c r="A25" s="219">
        <v>3.4</v>
      </c>
      <c r="B25" s="224" t="s">
        <v>128</v>
      </c>
      <c r="C25" s="225" t="s">
        <v>32</v>
      </c>
      <c r="D25" s="221" t="s">
        <v>114</v>
      </c>
      <c r="E25" s="218">
        <v>3</v>
      </c>
      <c r="F25" s="218">
        <v>0</v>
      </c>
      <c r="G25" s="222">
        <f t="shared" si="1"/>
        <v>0</v>
      </c>
      <c r="H25" s="196">
        <v>4539</v>
      </c>
      <c r="I25" s="198">
        <v>452</v>
      </c>
      <c r="J25" s="223">
        <f t="shared" si="2"/>
        <v>9.9581405595946251</v>
      </c>
    </row>
    <row r="26" spans="1:10" ht="21.75" customHeight="1" x14ac:dyDescent="0.2">
      <c r="A26" s="216">
        <v>4</v>
      </c>
      <c r="B26" s="224" t="s">
        <v>129</v>
      </c>
      <c r="C26" s="225" t="s">
        <v>32</v>
      </c>
      <c r="D26" s="221" t="s">
        <v>130</v>
      </c>
      <c r="E26" s="218">
        <v>12</v>
      </c>
      <c r="F26" s="218">
        <v>6</v>
      </c>
      <c r="G26" s="222">
        <f t="shared" si="1"/>
        <v>50</v>
      </c>
      <c r="H26" s="196">
        <v>8401</v>
      </c>
      <c r="I26" s="198">
        <v>1015</v>
      </c>
      <c r="J26" s="223">
        <f t="shared" si="2"/>
        <v>12.081895012498512</v>
      </c>
    </row>
    <row r="27" spans="1:10" ht="21.75" customHeight="1" x14ac:dyDescent="0.2">
      <c r="A27" s="216">
        <v>5</v>
      </c>
      <c r="B27" s="224" t="s">
        <v>131</v>
      </c>
      <c r="C27" s="225" t="s">
        <v>32</v>
      </c>
      <c r="D27" s="221" t="s">
        <v>130</v>
      </c>
      <c r="E27" s="218">
        <v>4</v>
      </c>
      <c r="F27" s="218">
        <v>2</v>
      </c>
      <c r="G27" s="222">
        <f t="shared" si="1"/>
        <v>50</v>
      </c>
      <c r="H27" s="196">
        <v>5957</v>
      </c>
      <c r="I27" s="198">
        <v>677</v>
      </c>
      <c r="J27" s="223">
        <f t="shared" si="2"/>
        <v>11.364780929998322</v>
      </c>
    </row>
    <row r="28" spans="1:10" ht="21.75" customHeight="1" x14ac:dyDescent="0.2">
      <c r="A28" s="216">
        <v>6</v>
      </c>
      <c r="B28" s="220" t="s">
        <v>599</v>
      </c>
      <c r="C28" s="225" t="s">
        <v>32</v>
      </c>
      <c r="D28" s="221" t="s">
        <v>132</v>
      </c>
      <c r="E28" s="218">
        <v>8</v>
      </c>
      <c r="F28" s="218">
        <f>11+2</f>
        <v>13</v>
      </c>
      <c r="G28" s="222">
        <f t="shared" si="1"/>
        <v>162.5</v>
      </c>
      <c r="H28" s="196">
        <v>6039</v>
      </c>
      <c r="I28" s="198">
        <v>452</v>
      </c>
      <c r="J28" s="223">
        <f t="shared" si="2"/>
        <v>7.4846828945189596</v>
      </c>
    </row>
    <row r="29" spans="1:10" ht="21.75" customHeight="1" x14ac:dyDescent="0.2">
      <c r="A29" s="216">
        <v>7</v>
      </c>
      <c r="B29" s="224" t="s">
        <v>133</v>
      </c>
      <c r="C29" s="225" t="s">
        <v>32</v>
      </c>
      <c r="D29" s="221" t="s">
        <v>132</v>
      </c>
      <c r="E29" s="218">
        <v>14</v>
      </c>
      <c r="F29" s="218">
        <v>13</v>
      </c>
      <c r="G29" s="222">
        <f t="shared" si="1"/>
        <v>92.857142857142861</v>
      </c>
      <c r="H29" s="196">
        <v>4915</v>
      </c>
      <c r="I29" s="198">
        <v>564</v>
      </c>
      <c r="J29" s="223">
        <f t="shared" si="2"/>
        <v>11.475076297049847</v>
      </c>
    </row>
    <row r="30" spans="1:10" ht="21.75" customHeight="1" x14ac:dyDescent="0.2">
      <c r="A30" s="216">
        <v>8</v>
      </c>
      <c r="B30" s="224" t="s">
        <v>134</v>
      </c>
      <c r="C30" s="225" t="s">
        <v>32</v>
      </c>
      <c r="D30" s="221" t="s">
        <v>135</v>
      </c>
      <c r="E30" s="218">
        <v>350</v>
      </c>
      <c r="F30" s="218">
        <v>183</v>
      </c>
      <c r="G30" s="222">
        <f t="shared" si="1"/>
        <v>52.285714285714292</v>
      </c>
      <c r="H30" s="196">
        <v>8484</v>
      </c>
      <c r="I30" s="198">
        <v>1015</v>
      </c>
      <c r="J30" s="223">
        <f t="shared" si="2"/>
        <v>11.963696369636963</v>
      </c>
    </row>
    <row r="31" spans="1:10" ht="21.75" customHeight="1" x14ac:dyDescent="0.2">
      <c r="A31" s="216">
        <v>9</v>
      </c>
      <c r="B31" s="220" t="s">
        <v>560</v>
      </c>
      <c r="C31" s="225" t="s">
        <v>32</v>
      </c>
      <c r="D31" s="232" t="s">
        <v>485</v>
      </c>
      <c r="E31" s="218">
        <v>2</v>
      </c>
      <c r="F31" s="218">
        <v>1</v>
      </c>
      <c r="G31" s="222">
        <f t="shared" si="1"/>
        <v>50</v>
      </c>
      <c r="H31" s="233">
        <v>28459</v>
      </c>
      <c r="I31" s="198">
        <v>3610</v>
      </c>
      <c r="J31" s="223">
        <f t="shared" si="2"/>
        <v>12.68491514108015</v>
      </c>
    </row>
    <row r="32" spans="1:10" ht="21.75" customHeight="1" x14ac:dyDescent="0.2">
      <c r="A32" s="216">
        <v>10</v>
      </c>
      <c r="B32" s="220" t="s">
        <v>561</v>
      </c>
      <c r="C32" s="225" t="s">
        <v>32</v>
      </c>
      <c r="D32" s="232" t="s">
        <v>132</v>
      </c>
      <c r="E32" s="218">
        <v>2</v>
      </c>
      <c r="F32" s="218">
        <v>1</v>
      </c>
      <c r="G32" s="222">
        <f t="shared" si="1"/>
        <v>50</v>
      </c>
      <c r="H32" s="233">
        <v>16520</v>
      </c>
      <c r="I32" s="198">
        <v>1918</v>
      </c>
      <c r="J32" s="223">
        <f t="shared" si="2"/>
        <v>11.610169491525424</v>
      </c>
    </row>
    <row r="33" spans="1:10" ht="21.75" customHeight="1" x14ac:dyDescent="0.2">
      <c r="A33" s="209">
        <v>11</v>
      </c>
      <c r="B33" s="209" t="s">
        <v>136</v>
      </c>
      <c r="C33" s="248"/>
      <c r="D33" s="249"/>
      <c r="E33" s="213"/>
      <c r="F33" s="213"/>
      <c r="G33" s="250"/>
      <c r="H33" s="186">
        <f>SUM(H34:H39)</f>
        <v>35253</v>
      </c>
      <c r="I33" s="215">
        <f>SUM(I34:I39)</f>
        <v>6350</v>
      </c>
      <c r="J33" s="235">
        <f t="shared" si="2"/>
        <v>18.012651405554138</v>
      </c>
    </row>
    <row r="34" spans="1:10" ht="24" customHeight="1" x14ac:dyDescent="0.2">
      <c r="A34" s="219">
        <v>11.1</v>
      </c>
      <c r="B34" s="224" t="s">
        <v>137</v>
      </c>
      <c r="C34" s="225" t="s">
        <v>32</v>
      </c>
      <c r="D34" s="221" t="s">
        <v>138</v>
      </c>
      <c r="E34" s="218">
        <v>7</v>
      </c>
      <c r="F34" s="218">
        <v>2</v>
      </c>
      <c r="G34" s="222">
        <f t="shared" si="1"/>
        <v>28.571428571428569</v>
      </c>
      <c r="H34" s="196">
        <v>6373</v>
      </c>
      <c r="I34" s="198">
        <v>1300</v>
      </c>
      <c r="J34" s="223">
        <f t="shared" si="2"/>
        <v>20.39855640985407</v>
      </c>
    </row>
    <row r="35" spans="1:10" ht="25.5" x14ac:dyDescent="0.2">
      <c r="A35" s="219">
        <v>11.2</v>
      </c>
      <c r="B35" s="224" t="s">
        <v>139</v>
      </c>
      <c r="C35" s="225" t="s">
        <v>32</v>
      </c>
      <c r="D35" s="221" t="s">
        <v>138</v>
      </c>
      <c r="E35" s="218">
        <v>10</v>
      </c>
      <c r="F35" s="218">
        <v>4</v>
      </c>
      <c r="G35" s="222">
        <f t="shared" si="1"/>
        <v>40</v>
      </c>
      <c r="H35" s="196">
        <v>5776</v>
      </c>
      <c r="I35" s="198">
        <v>1200</v>
      </c>
      <c r="J35" s="223">
        <f t="shared" si="2"/>
        <v>20.775623268698059</v>
      </c>
    </row>
    <row r="36" spans="1:10" ht="21.75" customHeight="1" x14ac:dyDescent="0.2">
      <c r="A36" s="219">
        <v>11.3</v>
      </c>
      <c r="B36" s="224" t="s">
        <v>140</v>
      </c>
      <c r="C36" s="225" t="s">
        <v>32</v>
      </c>
      <c r="D36" s="221" t="s">
        <v>141</v>
      </c>
      <c r="E36" s="218">
        <v>2</v>
      </c>
      <c r="F36" s="218">
        <v>1</v>
      </c>
      <c r="G36" s="222">
        <f t="shared" si="1"/>
        <v>50</v>
      </c>
      <c r="H36" s="196">
        <v>6373</v>
      </c>
      <c r="I36" s="198">
        <v>1850</v>
      </c>
      <c r="J36" s="223">
        <f t="shared" si="2"/>
        <v>29.028714890946176</v>
      </c>
    </row>
    <row r="37" spans="1:10" ht="21.75" customHeight="1" x14ac:dyDescent="0.2">
      <c r="A37" s="219">
        <v>11.4</v>
      </c>
      <c r="B37" s="224" t="s">
        <v>142</v>
      </c>
      <c r="C37" s="225" t="s">
        <v>32</v>
      </c>
      <c r="D37" s="221" t="s">
        <v>143</v>
      </c>
      <c r="E37" s="218">
        <v>2</v>
      </c>
      <c r="F37" s="218">
        <v>1</v>
      </c>
      <c r="G37" s="222">
        <f t="shared" si="1"/>
        <v>50</v>
      </c>
      <c r="H37" s="196">
        <v>6373</v>
      </c>
      <c r="I37" s="198">
        <v>2000</v>
      </c>
      <c r="J37" s="223">
        <f t="shared" si="2"/>
        <v>31.382394476698572</v>
      </c>
    </row>
    <row r="38" spans="1:10" ht="21.75" customHeight="1" x14ac:dyDescent="0.2">
      <c r="A38" s="219">
        <v>11.5</v>
      </c>
      <c r="B38" s="224" t="s">
        <v>1102</v>
      </c>
      <c r="C38" s="225" t="s">
        <v>32</v>
      </c>
      <c r="D38" s="221" t="s">
        <v>144</v>
      </c>
      <c r="E38" s="218">
        <v>2</v>
      </c>
      <c r="F38" s="218">
        <v>0</v>
      </c>
      <c r="G38" s="222">
        <f t="shared" si="1"/>
        <v>0</v>
      </c>
      <c r="H38" s="196">
        <v>5276</v>
      </c>
      <c r="I38" s="198">
        <v>0</v>
      </c>
      <c r="J38" s="223">
        <f t="shared" si="2"/>
        <v>0</v>
      </c>
    </row>
    <row r="39" spans="1:10" ht="21.75" customHeight="1" x14ac:dyDescent="0.2">
      <c r="A39" s="219">
        <v>11.6</v>
      </c>
      <c r="B39" s="224" t="s">
        <v>1103</v>
      </c>
      <c r="C39" s="225" t="s">
        <v>32</v>
      </c>
      <c r="D39" s="221" t="s">
        <v>112</v>
      </c>
      <c r="E39" s="218">
        <v>1</v>
      </c>
      <c r="F39" s="218">
        <v>0</v>
      </c>
      <c r="G39" s="222">
        <f t="shared" si="1"/>
        <v>0</v>
      </c>
      <c r="H39" s="196">
        <v>5082</v>
      </c>
      <c r="I39" s="198">
        <v>0</v>
      </c>
      <c r="J39" s="223">
        <f t="shared" si="2"/>
        <v>0</v>
      </c>
    </row>
    <row r="40" spans="1:10" ht="21.75" customHeight="1" x14ac:dyDescent="0.2">
      <c r="A40" s="209" t="s">
        <v>145</v>
      </c>
      <c r="B40" s="209"/>
      <c r="C40" s="234"/>
      <c r="D40" s="211"/>
      <c r="E40" s="214"/>
      <c r="F40" s="214"/>
      <c r="G40" s="215"/>
      <c r="H40" s="186">
        <f>SUM(H41:H54)</f>
        <v>531721</v>
      </c>
      <c r="I40" s="215">
        <f>SUM(I41:I54)</f>
        <v>87193</v>
      </c>
      <c r="J40" s="235">
        <f t="shared" si="2"/>
        <v>16.398261494279893</v>
      </c>
    </row>
    <row r="41" spans="1:10" ht="22.5" customHeight="1" x14ac:dyDescent="0.2">
      <c r="A41" s="216">
        <v>1</v>
      </c>
      <c r="B41" s="224" t="s">
        <v>146</v>
      </c>
      <c r="C41" s="225" t="s">
        <v>32</v>
      </c>
      <c r="D41" s="221" t="s">
        <v>98</v>
      </c>
      <c r="E41" s="218">
        <v>240</v>
      </c>
      <c r="F41" s="218">
        <v>140</v>
      </c>
      <c r="G41" s="222">
        <f t="shared" si="1"/>
        <v>58.333333333333336</v>
      </c>
      <c r="H41" s="196">
        <v>89726</v>
      </c>
      <c r="I41" s="198">
        <v>15600</v>
      </c>
      <c r="J41" s="223">
        <f t="shared" si="2"/>
        <v>17.386264850767894</v>
      </c>
    </row>
    <row r="42" spans="1:10" ht="25.5" x14ac:dyDescent="0.2">
      <c r="A42" s="216">
        <v>2</v>
      </c>
      <c r="B42" s="220" t="s">
        <v>562</v>
      </c>
      <c r="C42" s="225" t="s">
        <v>32</v>
      </c>
      <c r="D42" s="221" t="s">
        <v>98</v>
      </c>
      <c r="E42" s="218">
        <v>200</v>
      </c>
      <c r="F42" s="218">
        <v>75</v>
      </c>
      <c r="G42" s="222">
        <f t="shared" si="1"/>
        <v>37.5</v>
      </c>
      <c r="H42" s="196">
        <v>102304</v>
      </c>
      <c r="I42" s="198">
        <v>15670</v>
      </c>
      <c r="J42" s="223">
        <f t="shared" si="2"/>
        <v>15.317094150766344</v>
      </c>
    </row>
    <row r="43" spans="1:10" ht="21.75" customHeight="1" x14ac:dyDescent="0.2">
      <c r="A43" s="216">
        <v>3</v>
      </c>
      <c r="B43" s="224" t="s">
        <v>147</v>
      </c>
      <c r="C43" s="225" t="s">
        <v>32</v>
      </c>
      <c r="D43" s="221" t="s">
        <v>148</v>
      </c>
      <c r="E43" s="218">
        <v>900</v>
      </c>
      <c r="F43" s="218">
        <v>442</v>
      </c>
      <c r="G43" s="222">
        <f t="shared" si="1"/>
        <v>49.111111111111114</v>
      </c>
      <c r="H43" s="196">
        <v>41012</v>
      </c>
      <c r="I43" s="198">
        <v>7075</v>
      </c>
      <c r="J43" s="223">
        <f t="shared" si="2"/>
        <v>17.251048473617477</v>
      </c>
    </row>
    <row r="44" spans="1:10" ht="21.75" customHeight="1" x14ac:dyDescent="0.2">
      <c r="A44" s="216">
        <v>4</v>
      </c>
      <c r="B44" s="224" t="s">
        <v>149</v>
      </c>
      <c r="C44" s="225" t="s">
        <v>32</v>
      </c>
      <c r="D44" s="221" t="s">
        <v>38</v>
      </c>
      <c r="E44" s="218">
        <v>3000</v>
      </c>
      <c r="F44" s="218">
        <v>1474</v>
      </c>
      <c r="G44" s="222">
        <f t="shared" si="1"/>
        <v>49.133333333333333</v>
      </c>
      <c r="H44" s="196">
        <v>19286</v>
      </c>
      <c r="I44" s="198">
        <v>2862</v>
      </c>
      <c r="J44" s="223">
        <f t="shared" si="2"/>
        <v>14.839780151405163</v>
      </c>
    </row>
    <row r="45" spans="1:10" ht="21.75" customHeight="1" x14ac:dyDescent="0.2">
      <c r="A45" s="216">
        <v>5</v>
      </c>
      <c r="B45" s="224" t="s">
        <v>150</v>
      </c>
      <c r="C45" s="225" t="s">
        <v>32</v>
      </c>
      <c r="D45" s="221" t="s">
        <v>151</v>
      </c>
      <c r="E45" s="218">
        <v>44000</v>
      </c>
      <c r="F45" s="218">
        <v>22118</v>
      </c>
      <c r="G45" s="222">
        <f t="shared" si="1"/>
        <v>50.268181818181823</v>
      </c>
      <c r="H45" s="196">
        <v>45634</v>
      </c>
      <c r="I45" s="198">
        <v>7960</v>
      </c>
      <c r="J45" s="223">
        <f t="shared" si="2"/>
        <v>17.44313450497436</v>
      </c>
    </row>
    <row r="46" spans="1:10" ht="21.75" customHeight="1" x14ac:dyDescent="0.2">
      <c r="A46" s="216">
        <v>6</v>
      </c>
      <c r="B46" s="224" t="s">
        <v>152</v>
      </c>
      <c r="C46" s="225" t="s">
        <v>32</v>
      </c>
      <c r="D46" s="221" t="s">
        <v>151</v>
      </c>
      <c r="E46" s="218">
        <v>54</v>
      </c>
      <c r="F46" s="218">
        <v>13</v>
      </c>
      <c r="G46" s="222">
        <f t="shared" si="1"/>
        <v>24.074074074074073</v>
      </c>
      <c r="H46" s="196">
        <v>11771</v>
      </c>
      <c r="I46" s="198">
        <v>1768</v>
      </c>
      <c r="J46" s="223">
        <f t="shared" si="2"/>
        <v>15.019964319089288</v>
      </c>
    </row>
    <row r="47" spans="1:10" ht="28.5" customHeight="1" x14ac:dyDescent="0.2">
      <c r="A47" s="216">
        <v>7</v>
      </c>
      <c r="B47" s="224" t="s">
        <v>153</v>
      </c>
      <c r="C47" s="225" t="s">
        <v>32</v>
      </c>
      <c r="D47" s="221" t="s">
        <v>132</v>
      </c>
      <c r="E47" s="218">
        <v>12</v>
      </c>
      <c r="F47" s="218">
        <v>15</v>
      </c>
      <c r="G47" s="222">
        <f t="shared" si="1"/>
        <v>125</v>
      </c>
      <c r="H47" s="196">
        <v>24224</v>
      </c>
      <c r="I47" s="198">
        <v>3537</v>
      </c>
      <c r="J47" s="223">
        <f t="shared" si="2"/>
        <v>14.601221928665787</v>
      </c>
    </row>
    <row r="48" spans="1:10" ht="25.5" x14ac:dyDescent="0.2">
      <c r="A48" s="216">
        <v>8</v>
      </c>
      <c r="B48" s="220" t="s">
        <v>601</v>
      </c>
      <c r="C48" s="225" t="s">
        <v>32</v>
      </c>
      <c r="D48" s="221" t="s">
        <v>132</v>
      </c>
      <c r="E48" s="218">
        <v>20</v>
      </c>
      <c r="F48" s="218">
        <v>3</v>
      </c>
      <c r="G48" s="222">
        <f t="shared" si="1"/>
        <v>15</v>
      </c>
      <c r="H48" s="196">
        <v>22082</v>
      </c>
      <c r="I48" s="198">
        <v>3537</v>
      </c>
      <c r="J48" s="223">
        <f t="shared" si="2"/>
        <v>16.017570872203603</v>
      </c>
    </row>
    <row r="49" spans="1:10" ht="19.5" customHeight="1" x14ac:dyDescent="0.2">
      <c r="A49" s="216">
        <v>9</v>
      </c>
      <c r="B49" s="220" t="s">
        <v>600</v>
      </c>
      <c r="C49" s="225" t="s">
        <v>32</v>
      </c>
      <c r="D49" s="221" t="s">
        <v>132</v>
      </c>
      <c r="E49" s="218">
        <v>20</v>
      </c>
      <c r="F49" s="218">
        <v>10</v>
      </c>
      <c r="G49" s="222">
        <f t="shared" si="1"/>
        <v>50</v>
      </c>
      <c r="H49" s="196">
        <v>19967</v>
      </c>
      <c r="I49" s="198">
        <v>2653</v>
      </c>
      <c r="J49" s="223">
        <f t="shared" si="2"/>
        <v>13.286923423649021</v>
      </c>
    </row>
    <row r="50" spans="1:10" ht="21.75" customHeight="1" x14ac:dyDescent="0.2">
      <c r="A50" s="216">
        <v>10</v>
      </c>
      <c r="B50" s="224" t="s">
        <v>154</v>
      </c>
      <c r="C50" s="225" t="s">
        <v>32</v>
      </c>
      <c r="D50" s="221" t="s">
        <v>132</v>
      </c>
      <c r="E50" s="218">
        <v>12</v>
      </c>
      <c r="F50" s="218">
        <v>10</v>
      </c>
      <c r="G50" s="222">
        <f t="shared" si="1"/>
        <v>83.333333333333343</v>
      </c>
      <c r="H50" s="196">
        <v>22081</v>
      </c>
      <c r="I50" s="198">
        <v>3537</v>
      </c>
      <c r="J50" s="223">
        <f t="shared" si="2"/>
        <v>16.018296272813732</v>
      </c>
    </row>
    <row r="51" spans="1:10" ht="21.75" customHeight="1" x14ac:dyDescent="0.2">
      <c r="A51" s="216">
        <v>11</v>
      </c>
      <c r="B51" s="224" t="s">
        <v>155</v>
      </c>
      <c r="C51" s="225" t="s">
        <v>32</v>
      </c>
      <c r="D51" s="236" t="s">
        <v>156</v>
      </c>
      <c r="E51" s="218">
        <v>7500</v>
      </c>
      <c r="F51" s="218">
        <v>2964</v>
      </c>
      <c r="G51" s="222">
        <f t="shared" si="1"/>
        <v>39.519999999999996</v>
      </c>
      <c r="H51" s="196">
        <v>31327</v>
      </c>
      <c r="I51" s="198">
        <v>5306</v>
      </c>
      <c r="J51" s="223">
        <f t="shared" si="2"/>
        <v>16.937466083570083</v>
      </c>
    </row>
    <row r="52" spans="1:10" ht="21.75" customHeight="1" x14ac:dyDescent="0.2">
      <c r="A52" s="216">
        <v>12</v>
      </c>
      <c r="B52" s="224" t="s">
        <v>157</v>
      </c>
      <c r="C52" s="225" t="s">
        <v>32</v>
      </c>
      <c r="D52" s="236" t="s">
        <v>158</v>
      </c>
      <c r="E52" s="218">
        <v>12000</v>
      </c>
      <c r="F52" s="218">
        <v>5515</v>
      </c>
      <c r="G52" s="222">
        <f t="shared" si="1"/>
        <v>45.958333333333336</v>
      </c>
      <c r="H52" s="196">
        <v>25236</v>
      </c>
      <c r="I52" s="198">
        <v>4422</v>
      </c>
      <c r="J52" s="223">
        <f t="shared" si="2"/>
        <v>17.522586780789347</v>
      </c>
    </row>
    <row r="53" spans="1:10" ht="21.75" customHeight="1" x14ac:dyDescent="0.2">
      <c r="A53" s="216">
        <v>13</v>
      </c>
      <c r="B53" s="224" t="s">
        <v>159</v>
      </c>
      <c r="C53" s="225" t="s">
        <v>32</v>
      </c>
      <c r="D53" s="236" t="s">
        <v>122</v>
      </c>
      <c r="E53" s="218">
        <v>16</v>
      </c>
      <c r="F53" s="218">
        <v>14</v>
      </c>
      <c r="G53" s="222">
        <f t="shared" si="1"/>
        <v>87.5</v>
      </c>
      <c r="H53" s="196">
        <v>51990</v>
      </c>
      <c r="I53" s="198">
        <v>8844</v>
      </c>
      <c r="J53" s="223">
        <f t="shared" si="2"/>
        <v>17.010963646855163</v>
      </c>
    </row>
    <row r="54" spans="1:10" ht="18.75" customHeight="1" x14ac:dyDescent="0.2">
      <c r="A54" s="216">
        <v>14</v>
      </c>
      <c r="B54" s="224" t="s">
        <v>1104</v>
      </c>
      <c r="C54" s="225" t="s">
        <v>32</v>
      </c>
      <c r="D54" s="236" t="s">
        <v>160</v>
      </c>
      <c r="E54" s="218">
        <v>220</v>
      </c>
      <c r="F54" s="218">
        <v>104</v>
      </c>
      <c r="G54" s="222">
        <f t="shared" si="1"/>
        <v>47.272727272727273</v>
      </c>
      <c r="H54" s="196">
        <v>25081</v>
      </c>
      <c r="I54" s="198">
        <v>4422</v>
      </c>
      <c r="J54" s="223">
        <f t="shared" si="2"/>
        <v>17.630875961883497</v>
      </c>
    </row>
    <row r="55" spans="1:10" ht="19.5" customHeight="1" x14ac:dyDescent="0.2">
      <c r="A55" s="2371" t="s">
        <v>546</v>
      </c>
      <c r="B55" s="2371"/>
      <c r="C55" s="234"/>
      <c r="D55" s="237"/>
      <c r="E55" s="214"/>
      <c r="F55" s="214"/>
      <c r="G55" s="222"/>
      <c r="H55" s="186">
        <f>SUM(H56:H57)</f>
        <v>1290137</v>
      </c>
      <c r="I55" s="215">
        <f>SUM(I56:I57)</f>
        <v>296393</v>
      </c>
      <c r="J55" s="235">
        <f t="shared" si="2"/>
        <v>22.973761701276686</v>
      </c>
    </row>
    <row r="56" spans="1:10" ht="18.75" customHeight="1" x14ac:dyDescent="0.2">
      <c r="A56" s="216">
        <v>1</v>
      </c>
      <c r="B56" s="238" t="s">
        <v>546</v>
      </c>
      <c r="C56" s="225" t="s">
        <v>32</v>
      </c>
      <c r="D56" s="236" t="s">
        <v>582</v>
      </c>
      <c r="E56" s="196">
        <v>25</v>
      </c>
      <c r="F56" s="196">
        <v>30</v>
      </c>
      <c r="G56" s="222">
        <f t="shared" si="1"/>
        <v>120</v>
      </c>
      <c r="H56" s="239">
        <v>1228530</v>
      </c>
      <c r="I56" s="240">
        <v>278241</v>
      </c>
      <c r="J56" s="223">
        <f t="shared" si="2"/>
        <v>22.648286977118996</v>
      </c>
    </row>
    <row r="57" spans="1:10" ht="21" customHeight="1" x14ac:dyDescent="0.2">
      <c r="A57" s="216">
        <v>2</v>
      </c>
      <c r="B57" s="241" t="s">
        <v>245</v>
      </c>
      <c r="C57" s="225" t="s">
        <v>32</v>
      </c>
      <c r="D57" s="236" t="s">
        <v>582</v>
      </c>
      <c r="E57" s="196">
        <v>25</v>
      </c>
      <c r="F57" s="196">
        <v>30</v>
      </c>
      <c r="G57" s="222">
        <f t="shared" si="1"/>
        <v>120</v>
      </c>
      <c r="H57" s="239">
        <v>61607</v>
      </c>
      <c r="I57" s="240">
        <v>18152</v>
      </c>
      <c r="J57" s="223">
        <f t="shared" si="2"/>
        <v>29.464184264775106</v>
      </c>
    </row>
    <row r="58" spans="1:10" ht="16.5" customHeight="1" x14ac:dyDescent="0.2">
      <c r="A58" s="2371" t="s">
        <v>597</v>
      </c>
      <c r="B58" s="2371"/>
      <c r="C58" s="234"/>
      <c r="D58" s="242"/>
      <c r="E58" s="243"/>
      <c r="F58" s="243"/>
      <c r="G58" s="222"/>
      <c r="H58" s="186">
        <f>+H59</f>
        <v>145700</v>
      </c>
      <c r="I58" s="215">
        <f>+I59</f>
        <v>78817.59</v>
      </c>
      <c r="J58" s="235">
        <f t="shared" si="2"/>
        <v>54.095806451612901</v>
      </c>
    </row>
    <row r="59" spans="1:10" ht="19.5" customHeight="1" x14ac:dyDescent="0.2">
      <c r="A59" s="244">
        <v>1</v>
      </c>
      <c r="B59" s="238" t="s">
        <v>598</v>
      </c>
      <c r="C59" s="225" t="s">
        <v>32</v>
      </c>
      <c r="D59" s="245" t="s">
        <v>38</v>
      </c>
      <c r="E59" s="196">
        <v>4</v>
      </c>
      <c r="F59" s="196">
        <v>3</v>
      </c>
      <c r="G59" s="222">
        <f t="shared" si="1"/>
        <v>75</v>
      </c>
      <c r="H59" s="196">
        <f>14027+12621+113081+1800+1200+2971</f>
        <v>145700</v>
      </c>
      <c r="I59" s="198">
        <v>78817.59</v>
      </c>
      <c r="J59" s="223">
        <f t="shared" si="2"/>
        <v>54.095806451612901</v>
      </c>
    </row>
  </sheetData>
  <mergeCells count="12">
    <mergeCell ref="A2:B2"/>
    <mergeCell ref="A6:A7"/>
    <mergeCell ref="B6:B7"/>
    <mergeCell ref="C6:C7"/>
    <mergeCell ref="D6:G6"/>
    <mergeCell ref="A3:J3"/>
    <mergeCell ref="H6:J6"/>
    <mergeCell ref="C8:G8"/>
    <mergeCell ref="A55:B55"/>
    <mergeCell ref="A58:B58"/>
    <mergeCell ref="A4:J4"/>
    <mergeCell ref="A5:J5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L545"/>
  <sheetViews>
    <sheetView showZeros="0" view="pageBreakPreview" topLeftCell="A472" zoomScaleNormal="100" zoomScaleSheetLayoutView="100" workbookViewId="0">
      <selection activeCell="I156" sqref="I156:I160"/>
    </sheetView>
  </sheetViews>
  <sheetFormatPr baseColWidth="10" defaultRowHeight="12.75" x14ac:dyDescent="0.2"/>
  <cols>
    <col min="1" max="1" width="6" style="4" customWidth="1"/>
    <col min="2" max="2" width="61.42578125" style="2" customWidth="1"/>
    <col min="3" max="3" width="16.28515625" style="5" customWidth="1"/>
    <col min="4" max="4" width="14.5703125" style="6" customWidth="1"/>
    <col min="5" max="5" width="12.140625" style="40" customWidth="1"/>
    <col min="6" max="6" width="12.140625" style="2" customWidth="1"/>
    <col min="7" max="7" width="11.7109375" style="2" customWidth="1"/>
    <col min="8" max="8" width="14" style="2" customWidth="1"/>
    <col min="9" max="9" width="12.7109375" style="2" customWidth="1"/>
    <col min="10" max="10" width="11.140625" style="2" customWidth="1"/>
    <col min="11" max="16384" width="11.42578125" style="2"/>
  </cols>
  <sheetData>
    <row r="1" spans="1:10" ht="10.5" customHeight="1" x14ac:dyDescent="0.2"/>
    <row r="2" spans="1:10" ht="15.75" customHeight="1" x14ac:dyDescent="0.2">
      <c r="A2" s="2356" t="s">
        <v>20</v>
      </c>
      <c r="B2" s="2357"/>
      <c r="C2" s="149"/>
      <c r="D2" s="856"/>
      <c r="E2" s="151"/>
      <c r="F2" s="152"/>
      <c r="G2" s="285"/>
      <c r="H2" s="285"/>
      <c r="I2" s="285"/>
      <c r="J2" s="247"/>
    </row>
    <row r="3" spans="1:10" ht="25.5" customHeight="1" x14ac:dyDescent="0.2">
      <c r="A3" s="2325" t="s">
        <v>1145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ht="25.5" customHeight="1" x14ac:dyDescent="0.2">
      <c r="A4" s="2336" t="s">
        <v>6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0" ht="21.75" customHeight="1" x14ac:dyDescent="0.2">
      <c r="A5" s="2339" t="s">
        <v>7</v>
      </c>
      <c r="B5" s="2340"/>
      <c r="C5" s="2340"/>
      <c r="D5" s="2340"/>
      <c r="E5" s="2340"/>
      <c r="F5" s="2340"/>
      <c r="G5" s="2340"/>
      <c r="H5" s="2340"/>
      <c r="I5" s="2340"/>
      <c r="J5" s="2341"/>
    </row>
    <row r="6" spans="1:10" ht="18" customHeight="1" x14ac:dyDescent="0.2">
      <c r="A6" s="2348" t="s">
        <v>0</v>
      </c>
      <c r="B6" s="2348" t="s">
        <v>1</v>
      </c>
      <c r="C6" s="2348" t="s">
        <v>2</v>
      </c>
      <c r="D6" s="2335" t="s">
        <v>773</v>
      </c>
      <c r="E6" s="2335"/>
      <c r="F6" s="2335"/>
      <c r="G6" s="2335"/>
      <c r="H6" s="2335" t="s">
        <v>774</v>
      </c>
      <c r="I6" s="2335"/>
      <c r="J6" s="2335"/>
    </row>
    <row r="7" spans="1:10" ht="24.75" customHeight="1" x14ac:dyDescent="0.2">
      <c r="A7" s="2348"/>
      <c r="B7" s="2348"/>
      <c r="C7" s="2348"/>
      <c r="D7" s="855" t="s">
        <v>3</v>
      </c>
      <c r="E7" s="855" t="s">
        <v>4</v>
      </c>
      <c r="F7" s="855" t="s">
        <v>747</v>
      </c>
      <c r="G7" s="855" t="s">
        <v>746</v>
      </c>
      <c r="H7" s="88" t="s">
        <v>748</v>
      </c>
      <c r="I7" s="855" t="s">
        <v>747</v>
      </c>
      <c r="J7" s="855" t="s">
        <v>746</v>
      </c>
    </row>
    <row r="8" spans="1:10" ht="18" customHeight="1" x14ac:dyDescent="0.2">
      <c r="A8" s="90"/>
      <c r="B8" s="1994"/>
      <c r="C8" s="2343" t="s">
        <v>1129</v>
      </c>
      <c r="D8" s="2344"/>
      <c r="E8" s="2344"/>
      <c r="F8" s="2344"/>
      <c r="G8" s="2345"/>
      <c r="H8" s="99">
        <f>+H10+H55+H61+H144+H161+H163</f>
        <v>24809989</v>
      </c>
      <c r="I8" s="111">
        <f>+I10+I55+I61+I144+I161+I163</f>
        <v>8662781.9000000004</v>
      </c>
      <c r="J8" s="251">
        <f t="shared" ref="J8" si="0">+I8/H8*100</f>
        <v>34.916508427311278</v>
      </c>
    </row>
    <row r="9" spans="1:10" ht="18" customHeight="1" x14ac:dyDescent="0.2">
      <c r="A9" s="442">
        <v>1</v>
      </c>
      <c r="B9" s="262" t="s">
        <v>374</v>
      </c>
      <c r="C9" s="188"/>
      <c r="D9" s="188"/>
      <c r="E9" s="189"/>
      <c r="F9" s="189"/>
      <c r="G9" s="189"/>
      <c r="H9" s="289">
        <f>+H10+H55</f>
        <v>3096272</v>
      </c>
      <c r="I9" s="295">
        <f>+I10+I55</f>
        <v>573455.82999999996</v>
      </c>
      <c r="J9" s="164">
        <f>+I9/H9*100</f>
        <v>18.520847974596546</v>
      </c>
    </row>
    <row r="10" spans="1:10" ht="18" customHeight="1" x14ac:dyDescent="0.2">
      <c r="A10" s="255"/>
      <c r="B10" s="262" t="s">
        <v>1146</v>
      </c>
      <c r="C10" s="188"/>
      <c r="D10" s="188"/>
      <c r="E10" s="189"/>
      <c r="F10" s="189"/>
      <c r="G10" s="189"/>
      <c r="H10" s="173">
        <f>+H11+H20</f>
        <v>3030298</v>
      </c>
      <c r="I10" s="174">
        <f>+I11+I20</f>
        <v>544988</v>
      </c>
      <c r="J10" s="174">
        <f>+I10/H10*100</f>
        <v>17.984633854492198</v>
      </c>
    </row>
    <row r="11" spans="1:10" ht="18" customHeight="1" x14ac:dyDescent="0.2">
      <c r="A11" s="263">
        <v>1</v>
      </c>
      <c r="B11" s="256" t="s">
        <v>1130</v>
      </c>
      <c r="C11" s="257"/>
      <c r="D11" s="257"/>
      <c r="E11" s="862"/>
      <c r="F11" s="286"/>
      <c r="G11" s="286"/>
      <c r="H11" s="190">
        <f>SUM(H12:H19)</f>
        <v>268327</v>
      </c>
      <c r="I11" s="191">
        <f>SUM(I12:I19)</f>
        <v>130404</v>
      </c>
      <c r="J11" s="174">
        <v>49.2</v>
      </c>
    </row>
    <row r="12" spans="1:10" ht="18.75" customHeight="1" x14ac:dyDescent="0.2">
      <c r="A12" s="192">
        <v>1.1000000000000001</v>
      </c>
      <c r="B12" s="258" t="s">
        <v>1126</v>
      </c>
      <c r="C12" s="193"/>
      <c r="D12" s="193"/>
      <c r="E12" s="194"/>
      <c r="F12" s="194"/>
      <c r="G12" s="194"/>
      <c r="H12" s="155">
        <v>56936</v>
      </c>
      <c r="I12" s="146">
        <v>28010.2</v>
      </c>
      <c r="J12" s="178">
        <v>49.2</v>
      </c>
    </row>
    <row r="13" spans="1:10" ht="18" customHeight="1" x14ac:dyDescent="0.2">
      <c r="A13" s="192">
        <v>1.2</v>
      </c>
      <c r="B13" s="258" t="s">
        <v>354</v>
      </c>
      <c r="C13" s="193" t="s">
        <v>32</v>
      </c>
      <c r="D13" s="193" t="s">
        <v>35</v>
      </c>
      <c r="E13" s="194">
        <v>2</v>
      </c>
      <c r="F13" s="194">
        <v>1</v>
      </c>
      <c r="G13" s="223">
        <f>+F13/E13*100</f>
        <v>50</v>
      </c>
      <c r="H13" s="233">
        <v>30000</v>
      </c>
      <c r="I13" s="223">
        <v>20380</v>
      </c>
      <c r="J13" s="161">
        <f t="shared" ref="J13:J20" si="1">+I13/H13*100</f>
        <v>67.933333333333337</v>
      </c>
    </row>
    <row r="14" spans="1:10" ht="27" customHeight="1" x14ac:dyDescent="0.2">
      <c r="A14" s="192">
        <v>1.3</v>
      </c>
      <c r="B14" s="258" t="s">
        <v>432</v>
      </c>
      <c r="C14" s="193" t="s">
        <v>32</v>
      </c>
      <c r="D14" s="193" t="s">
        <v>93</v>
      </c>
      <c r="E14" s="194">
        <v>1</v>
      </c>
      <c r="F14" s="194">
        <v>1</v>
      </c>
      <c r="G14" s="223">
        <f>+F14/E14*100</f>
        <v>100</v>
      </c>
      <c r="H14" s="233">
        <v>0</v>
      </c>
      <c r="I14" s="223">
        <v>0</v>
      </c>
      <c r="J14" s="161">
        <v>0</v>
      </c>
    </row>
    <row r="15" spans="1:10" ht="18.75" customHeight="1" x14ac:dyDescent="0.2">
      <c r="A15" s="192">
        <v>1.4</v>
      </c>
      <c r="B15" s="259" t="s">
        <v>355</v>
      </c>
      <c r="C15" s="144" t="s">
        <v>32</v>
      </c>
      <c r="D15" s="144" t="s">
        <v>1127</v>
      </c>
      <c r="E15" s="200">
        <v>2</v>
      </c>
      <c r="F15" s="200">
        <v>1</v>
      </c>
      <c r="G15" s="223">
        <f>+F15/E15*100</f>
        <v>50</v>
      </c>
      <c r="H15" s="155">
        <v>6000</v>
      </c>
      <c r="I15" s="260">
        <v>6000</v>
      </c>
      <c r="J15" s="161">
        <f t="shared" si="1"/>
        <v>100</v>
      </c>
    </row>
    <row r="16" spans="1:10" ht="18" customHeight="1" x14ac:dyDescent="0.2">
      <c r="A16" s="192">
        <v>1.5</v>
      </c>
      <c r="B16" s="258" t="s">
        <v>434</v>
      </c>
      <c r="C16" s="193" t="s">
        <v>32</v>
      </c>
      <c r="D16" s="195" t="s">
        <v>110</v>
      </c>
      <c r="E16" s="194">
        <v>3</v>
      </c>
      <c r="F16" s="194">
        <v>1</v>
      </c>
      <c r="G16" s="223">
        <f>+F16/E16*100</f>
        <v>33.333333333333329</v>
      </c>
      <c r="H16" s="233">
        <v>37848</v>
      </c>
      <c r="I16" s="223">
        <v>10695</v>
      </c>
      <c r="J16" s="161">
        <f t="shared" si="1"/>
        <v>28.257767913760308</v>
      </c>
    </row>
    <row r="17" spans="1:10" ht="26.25" customHeight="1" x14ac:dyDescent="0.2">
      <c r="A17" s="192">
        <v>1.6</v>
      </c>
      <c r="B17" s="258" t="s">
        <v>2494</v>
      </c>
      <c r="C17" s="193" t="s">
        <v>741</v>
      </c>
      <c r="D17" s="193" t="s">
        <v>904</v>
      </c>
      <c r="E17" s="194">
        <v>1</v>
      </c>
      <c r="F17" s="194">
        <v>1</v>
      </c>
      <c r="G17" s="223">
        <f>+F17/E17*100</f>
        <v>100</v>
      </c>
      <c r="H17" s="233">
        <v>117142</v>
      </c>
      <c r="I17" s="223">
        <v>45750</v>
      </c>
      <c r="J17" s="161">
        <f t="shared" si="1"/>
        <v>39.055163818271843</v>
      </c>
    </row>
    <row r="18" spans="1:10" ht="27.75" customHeight="1" x14ac:dyDescent="0.2">
      <c r="A18" s="192">
        <v>1.7</v>
      </c>
      <c r="B18" s="259" t="s">
        <v>356</v>
      </c>
      <c r="C18" s="193" t="s">
        <v>32</v>
      </c>
      <c r="D18" s="193"/>
      <c r="E18" s="194">
        <v>5</v>
      </c>
      <c r="F18" s="445">
        <v>0.1</v>
      </c>
      <c r="G18" s="223">
        <v>1E-3</v>
      </c>
      <c r="H18" s="155">
        <v>19153</v>
      </c>
      <c r="I18" s="146">
        <v>19153</v>
      </c>
      <c r="J18" s="161">
        <f t="shared" si="1"/>
        <v>100</v>
      </c>
    </row>
    <row r="19" spans="1:10" ht="20.25" customHeight="1" x14ac:dyDescent="0.2">
      <c r="A19" s="261">
        <v>1.8</v>
      </c>
      <c r="B19" s="259" t="s">
        <v>1128</v>
      </c>
      <c r="C19" s="193" t="s">
        <v>37</v>
      </c>
      <c r="D19" s="193" t="s">
        <v>38</v>
      </c>
      <c r="E19" s="194"/>
      <c r="F19" s="445"/>
      <c r="G19" s="223"/>
      <c r="H19" s="233">
        <v>1248</v>
      </c>
      <c r="I19" s="223">
        <v>415.8</v>
      </c>
      <c r="J19" s="161">
        <f t="shared" si="1"/>
        <v>33.317307692307693</v>
      </c>
    </row>
    <row r="20" spans="1:10" ht="19.5" customHeight="1" x14ac:dyDescent="0.2">
      <c r="A20" s="264"/>
      <c r="B20" s="265" t="s">
        <v>1131</v>
      </c>
      <c r="C20" s="266"/>
      <c r="D20" s="267"/>
      <c r="E20" s="243"/>
      <c r="F20" s="443"/>
      <c r="G20" s="268"/>
      <c r="H20" s="268">
        <f>SUM(H21:H54)</f>
        <v>2761971</v>
      </c>
      <c r="I20" s="287">
        <f>SUM(I21:I54)</f>
        <v>414584</v>
      </c>
      <c r="J20" s="174">
        <f t="shared" si="1"/>
        <v>15.010440008240492</v>
      </c>
    </row>
    <row r="21" spans="1:10" ht="25.5" x14ac:dyDescent="0.2">
      <c r="A21" s="175">
        <v>1</v>
      </c>
      <c r="B21" s="253" t="s">
        <v>1106</v>
      </c>
      <c r="C21" s="271" t="s">
        <v>187</v>
      </c>
      <c r="D21" s="144" t="s">
        <v>1107</v>
      </c>
      <c r="E21" s="200">
        <v>9.125</v>
      </c>
      <c r="F21" s="200">
        <v>0</v>
      </c>
      <c r="G21" s="223">
        <f t="shared" ref="G21:G57" si="2">+F21/E21*100</f>
        <v>0</v>
      </c>
      <c r="H21" s="155">
        <v>74950</v>
      </c>
      <c r="I21" s="269">
        <v>9497</v>
      </c>
      <c r="J21" s="270">
        <f>(I21/H21)*100</f>
        <v>12.671114076050701</v>
      </c>
    </row>
    <row r="22" spans="1:10" ht="25.5" x14ac:dyDescent="0.2">
      <c r="A22" s="175">
        <v>2</v>
      </c>
      <c r="B22" s="253" t="s">
        <v>1143</v>
      </c>
      <c r="C22" s="272" t="s">
        <v>187</v>
      </c>
      <c r="D22" s="273" t="s">
        <v>1107</v>
      </c>
      <c r="E22" s="444">
        <v>35</v>
      </c>
      <c r="F22" s="444">
        <v>35</v>
      </c>
      <c r="G22" s="223">
        <f t="shared" si="2"/>
        <v>100</v>
      </c>
      <c r="H22" s="155">
        <v>41323</v>
      </c>
      <c r="I22" s="269">
        <v>1575</v>
      </c>
      <c r="J22" s="270">
        <f t="shared" ref="J22:J60" si="3">(I22/H22)*100</f>
        <v>3.8114367301502798</v>
      </c>
    </row>
    <row r="23" spans="1:10" ht="38.25" x14ac:dyDescent="0.2">
      <c r="A23" s="175">
        <v>3</v>
      </c>
      <c r="B23" s="253" t="s">
        <v>2495</v>
      </c>
      <c r="C23" s="271" t="s">
        <v>1108</v>
      </c>
      <c r="D23" s="144" t="s">
        <v>1107</v>
      </c>
      <c r="E23" s="200">
        <v>16.5</v>
      </c>
      <c r="F23" s="200">
        <v>10</v>
      </c>
      <c r="G23" s="223">
        <f t="shared" si="2"/>
        <v>60.606060606060609</v>
      </c>
      <c r="H23" s="155">
        <v>43359</v>
      </c>
      <c r="I23" s="269">
        <v>8864</v>
      </c>
      <c r="J23" s="270">
        <f t="shared" si="3"/>
        <v>20.443275905809635</v>
      </c>
    </row>
    <row r="24" spans="1:10" ht="38.25" x14ac:dyDescent="0.2">
      <c r="A24" s="175">
        <v>4</v>
      </c>
      <c r="B24" s="254" t="s">
        <v>1141</v>
      </c>
      <c r="C24" s="271" t="s">
        <v>1108</v>
      </c>
      <c r="D24" s="144" t="s">
        <v>1109</v>
      </c>
      <c r="E24" s="200">
        <v>27</v>
      </c>
      <c r="F24" s="200">
        <v>27</v>
      </c>
      <c r="G24" s="223">
        <f t="shared" si="2"/>
        <v>100</v>
      </c>
      <c r="H24" s="155">
        <v>32803</v>
      </c>
      <c r="I24" s="269">
        <v>0</v>
      </c>
      <c r="J24" s="270">
        <f t="shared" si="3"/>
        <v>0</v>
      </c>
    </row>
    <row r="25" spans="1:10" ht="30" customHeight="1" x14ac:dyDescent="0.2">
      <c r="A25" s="175">
        <v>5</v>
      </c>
      <c r="B25" s="253" t="s">
        <v>1142</v>
      </c>
      <c r="C25" s="271" t="s">
        <v>350</v>
      </c>
      <c r="D25" s="144" t="s">
        <v>99</v>
      </c>
      <c r="E25" s="200">
        <v>1</v>
      </c>
      <c r="F25" s="200">
        <v>1</v>
      </c>
      <c r="G25" s="223">
        <f t="shared" si="2"/>
        <v>100</v>
      </c>
      <c r="H25" s="155">
        <v>31463</v>
      </c>
      <c r="I25" s="269">
        <v>621</v>
      </c>
      <c r="J25" s="270">
        <f t="shared" si="3"/>
        <v>1.9737469408511585</v>
      </c>
    </row>
    <row r="26" spans="1:10" ht="38.25" x14ac:dyDescent="0.2">
      <c r="A26" s="175">
        <v>6</v>
      </c>
      <c r="B26" s="253" t="s">
        <v>1110</v>
      </c>
      <c r="C26" s="271" t="s">
        <v>37</v>
      </c>
      <c r="D26" s="144" t="s">
        <v>99</v>
      </c>
      <c r="E26" s="200">
        <v>1</v>
      </c>
      <c r="F26" s="200">
        <v>1</v>
      </c>
      <c r="G26" s="223">
        <f t="shared" si="2"/>
        <v>100</v>
      </c>
      <c r="H26" s="155">
        <v>30959</v>
      </c>
      <c r="I26" s="269">
        <v>2609</v>
      </c>
      <c r="J26" s="270">
        <f t="shared" si="3"/>
        <v>8.4272747827772214</v>
      </c>
    </row>
    <row r="27" spans="1:10" ht="39.75" customHeight="1" x14ac:dyDescent="0.2">
      <c r="A27" s="175">
        <v>7</v>
      </c>
      <c r="B27" s="253" t="s">
        <v>1111</v>
      </c>
      <c r="C27" s="274" t="s">
        <v>68</v>
      </c>
      <c r="D27" s="275" t="s">
        <v>1107</v>
      </c>
      <c r="E27" s="200">
        <v>56</v>
      </c>
      <c r="F27" s="200"/>
      <c r="G27" s="223">
        <f t="shared" si="2"/>
        <v>0</v>
      </c>
      <c r="H27" s="155">
        <v>36426</v>
      </c>
      <c r="I27" s="269">
        <v>9214</v>
      </c>
      <c r="J27" s="270">
        <f t="shared" si="3"/>
        <v>25.295118871136001</v>
      </c>
    </row>
    <row r="28" spans="1:10" ht="38.25" x14ac:dyDescent="0.2">
      <c r="A28" s="175">
        <v>8</v>
      </c>
      <c r="B28" s="254" t="s">
        <v>1112</v>
      </c>
      <c r="C28" s="271" t="s">
        <v>69</v>
      </c>
      <c r="D28" s="144" t="s">
        <v>1107</v>
      </c>
      <c r="E28" s="200">
        <v>17.5</v>
      </c>
      <c r="F28" s="200"/>
      <c r="G28" s="223">
        <f t="shared" si="2"/>
        <v>0</v>
      </c>
      <c r="H28" s="155">
        <v>39670</v>
      </c>
      <c r="I28" s="269">
        <v>6956</v>
      </c>
      <c r="J28" s="270">
        <f t="shared" si="3"/>
        <v>17.534660952861103</v>
      </c>
    </row>
    <row r="29" spans="1:10" ht="38.25" x14ac:dyDescent="0.2">
      <c r="A29" s="175">
        <v>9</v>
      </c>
      <c r="B29" s="254" t="s">
        <v>1113</v>
      </c>
      <c r="C29" s="271" t="s">
        <v>1108</v>
      </c>
      <c r="D29" s="276" t="s">
        <v>99</v>
      </c>
      <c r="E29" s="200">
        <v>5</v>
      </c>
      <c r="F29" s="200">
        <v>5</v>
      </c>
      <c r="G29" s="223">
        <f t="shared" si="2"/>
        <v>100</v>
      </c>
      <c r="H29" s="155">
        <v>639</v>
      </c>
      <c r="I29" s="269">
        <v>600</v>
      </c>
      <c r="J29" s="270">
        <f t="shared" si="3"/>
        <v>93.896713615023472</v>
      </c>
    </row>
    <row r="30" spans="1:10" ht="31.5" customHeight="1" x14ac:dyDescent="0.2">
      <c r="A30" s="175">
        <v>10</v>
      </c>
      <c r="B30" s="254" t="s">
        <v>1132</v>
      </c>
      <c r="C30" s="271" t="s">
        <v>349</v>
      </c>
      <c r="D30" s="276" t="s">
        <v>1107</v>
      </c>
      <c r="E30" s="200">
        <v>6</v>
      </c>
      <c r="F30" s="200">
        <v>3</v>
      </c>
      <c r="G30" s="223">
        <f t="shared" si="2"/>
        <v>50</v>
      </c>
      <c r="H30" s="155">
        <v>31053</v>
      </c>
      <c r="I30" s="269">
        <v>9183</v>
      </c>
      <c r="J30" s="270">
        <f t="shared" si="3"/>
        <v>29.572022026857308</v>
      </c>
    </row>
    <row r="31" spans="1:10" ht="33.75" customHeight="1" x14ac:dyDescent="0.2">
      <c r="A31" s="175">
        <v>11</v>
      </c>
      <c r="B31" s="254" t="s">
        <v>1114</v>
      </c>
      <c r="C31" s="271" t="s">
        <v>1115</v>
      </c>
      <c r="D31" s="276" t="s">
        <v>1107</v>
      </c>
      <c r="E31" s="200">
        <v>10</v>
      </c>
      <c r="F31" s="200">
        <v>0</v>
      </c>
      <c r="G31" s="223">
        <f t="shared" si="2"/>
        <v>0</v>
      </c>
      <c r="H31" s="155">
        <v>70519</v>
      </c>
      <c r="I31" s="269">
        <v>44970</v>
      </c>
      <c r="J31" s="270">
        <f t="shared" si="3"/>
        <v>63.770047788539266</v>
      </c>
    </row>
    <row r="32" spans="1:10" ht="38.25" x14ac:dyDescent="0.2">
      <c r="A32" s="175">
        <v>12</v>
      </c>
      <c r="B32" s="254" t="s">
        <v>1116</v>
      </c>
      <c r="C32" s="271" t="s">
        <v>1108</v>
      </c>
      <c r="D32" s="276" t="s">
        <v>1107</v>
      </c>
      <c r="E32" s="200">
        <v>15</v>
      </c>
      <c r="F32" s="200"/>
      <c r="G32" s="223">
        <f t="shared" si="2"/>
        <v>0</v>
      </c>
      <c r="H32" s="155">
        <v>46418</v>
      </c>
      <c r="I32" s="269">
        <v>6750</v>
      </c>
      <c r="J32" s="270">
        <f t="shared" si="3"/>
        <v>14.541772588220086</v>
      </c>
    </row>
    <row r="33" spans="1:10" ht="38.25" x14ac:dyDescent="0.2">
      <c r="A33" s="175">
        <v>13</v>
      </c>
      <c r="B33" s="254" t="s">
        <v>1138</v>
      </c>
      <c r="C33" s="271" t="s">
        <v>68</v>
      </c>
      <c r="D33" s="276" t="s">
        <v>1107</v>
      </c>
      <c r="E33" s="200">
        <v>28</v>
      </c>
      <c r="F33" s="200"/>
      <c r="G33" s="223">
        <f t="shared" si="2"/>
        <v>0</v>
      </c>
      <c r="H33" s="155">
        <v>34359</v>
      </c>
      <c r="I33" s="269">
        <v>4206</v>
      </c>
      <c r="J33" s="270">
        <f t="shared" si="3"/>
        <v>12.241334148258098</v>
      </c>
    </row>
    <row r="34" spans="1:10" ht="38.25" x14ac:dyDescent="0.2">
      <c r="A34" s="175">
        <v>14</v>
      </c>
      <c r="B34" s="253" t="s">
        <v>1137</v>
      </c>
      <c r="C34" s="271" t="s">
        <v>70</v>
      </c>
      <c r="D34" s="276" t="s">
        <v>99</v>
      </c>
      <c r="E34" s="200">
        <v>1</v>
      </c>
      <c r="F34" s="200">
        <v>1</v>
      </c>
      <c r="G34" s="223">
        <f t="shared" si="2"/>
        <v>100</v>
      </c>
      <c r="H34" s="155">
        <v>24720</v>
      </c>
      <c r="I34" s="269">
        <v>3601</v>
      </c>
      <c r="J34" s="270">
        <f t="shared" si="3"/>
        <v>14.567152103559872</v>
      </c>
    </row>
    <row r="35" spans="1:10" ht="38.25" x14ac:dyDescent="0.2">
      <c r="A35" s="175">
        <v>15</v>
      </c>
      <c r="B35" s="253" t="s">
        <v>1136</v>
      </c>
      <c r="C35" s="271" t="s">
        <v>68</v>
      </c>
      <c r="D35" s="276" t="s">
        <v>1107</v>
      </c>
      <c r="E35" s="200">
        <v>50</v>
      </c>
      <c r="F35" s="200"/>
      <c r="G35" s="223">
        <f t="shared" si="2"/>
        <v>0</v>
      </c>
      <c r="H35" s="155">
        <v>39043</v>
      </c>
      <c r="I35" s="269">
        <v>15337</v>
      </c>
      <c r="J35" s="270">
        <f t="shared" si="3"/>
        <v>39.282329739005711</v>
      </c>
    </row>
    <row r="36" spans="1:10" ht="38.25" x14ac:dyDescent="0.2">
      <c r="A36" s="175">
        <v>16</v>
      </c>
      <c r="B36" s="253" t="s">
        <v>2499</v>
      </c>
      <c r="C36" s="271" t="s">
        <v>70</v>
      </c>
      <c r="D36" s="276" t="s">
        <v>99</v>
      </c>
      <c r="E36" s="200">
        <v>1</v>
      </c>
      <c r="F36" s="200">
        <v>1</v>
      </c>
      <c r="G36" s="223">
        <f t="shared" si="2"/>
        <v>100</v>
      </c>
      <c r="H36" s="155">
        <v>22935</v>
      </c>
      <c r="I36" s="269">
        <v>7718</v>
      </c>
      <c r="J36" s="270">
        <f t="shared" si="3"/>
        <v>33.651624155221278</v>
      </c>
    </row>
    <row r="37" spans="1:10" ht="38.25" x14ac:dyDescent="0.2">
      <c r="A37" s="175">
        <v>17</v>
      </c>
      <c r="B37" s="253" t="s">
        <v>1135</v>
      </c>
      <c r="C37" s="271" t="s">
        <v>350</v>
      </c>
      <c r="D37" s="276" t="s">
        <v>99</v>
      </c>
      <c r="E37" s="200">
        <v>1</v>
      </c>
      <c r="F37" s="200">
        <v>1</v>
      </c>
      <c r="G37" s="223">
        <f t="shared" si="2"/>
        <v>100</v>
      </c>
      <c r="H37" s="155">
        <v>6557</v>
      </c>
      <c r="I37" s="269">
        <v>2450</v>
      </c>
      <c r="J37" s="270">
        <f t="shared" si="3"/>
        <v>37.36464846728687</v>
      </c>
    </row>
    <row r="38" spans="1:10" ht="38.25" x14ac:dyDescent="0.2">
      <c r="A38" s="175">
        <v>18</v>
      </c>
      <c r="B38" s="253" t="s">
        <v>1134</v>
      </c>
      <c r="C38" s="271" t="s">
        <v>69</v>
      </c>
      <c r="D38" s="276" t="s">
        <v>1107</v>
      </c>
      <c r="E38" s="200">
        <v>54</v>
      </c>
      <c r="F38" s="200">
        <v>54</v>
      </c>
      <c r="G38" s="223">
        <f t="shared" si="2"/>
        <v>100</v>
      </c>
      <c r="H38" s="155">
        <v>34269</v>
      </c>
      <c r="I38" s="269">
        <v>3548</v>
      </c>
      <c r="J38" s="270">
        <f t="shared" si="3"/>
        <v>10.353380606378943</v>
      </c>
    </row>
    <row r="39" spans="1:10" ht="38.25" x14ac:dyDescent="0.2">
      <c r="A39" s="175">
        <v>19</v>
      </c>
      <c r="B39" s="253" t="s">
        <v>1133</v>
      </c>
      <c r="C39" s="271" t="s">
        <v>69</v>
      </c>
      <c r="D39" s="276" t="s">
        <v>99</v>
      </c>
      <c r="E39" s="200">
        <v>1</v>
      </c>
      <c r="F39" s="200">
        <v>1</v>
      </c>
      <c r="G39" s="223">
        <f t="shared" si="2"/>
        <v>100</v>
      </c>
      <c r="H39" s="155">
        <v>16947</v>
      </c>
      <c r="I39" s="269">
        <v>1056</v>
      </c>
      <c r="J39" s="270">
        <f t="shared" si="3"/>
        <v>6.2311913613028853</v>
      </c>
    </row>
    <row r="40" spans="1:10" ht="38.25" x14ac:dyDescent="0.2">
      <c r="A40" s="175">
        <v>20</v>
      </c>
      <c r="B40" s="253" t="s">
        <v>1150</v>
      </c>
      <c r="C40" s="271" t="s">
        <v>1115</v>
      </c>
      <c r="D40" s="276" t="s">
        <v>1107</v>
      </c>
      <c r="E40" s="200">
        <v>20</v>
      </c>
      <c r="F40" s="200">
        <v>2.5</v>
      </c>
      <c r="G40" s="223">
        <f t="shared" si="2"/>
        <v>12.5</v>
      </c>
      <c r="H40" s="155">
        <v>75538</v>
      </c>
      <c r="I40" s="269">
        <v>9398</v>
      </c>
      <c r="J40" s="270">
        <f t="shared" si="3"/>
        <v>12.441420212343457</v>
      </c>
    </row>
    <row r="41" spans="1:10" ht="38.25" x14ac:dyDescent="0.2">
      <c r="A41" s="175">
        <v>21</v>
      </c>
      <c r="B41" s="253" t="s">
        <v>1151</v>
      </c>
      <c r="C41" s="271" t="s">
        <v>70</v>
      </c>
      <c r="D41" s="276" t="s">
        <v>99</v>
      </c>
      <c r="E41" s="200">
        <v>1</v>
      </c>
      <c r="F41" s="200">
        <v>0.3</v>
      </c>
      <c r="G41" s="223">
        <f t="shared" si="2"/>
        <v>30</v>
      </c>
      <c r="H41" s="155">
        <v>766870</v>
      </c>
      <c r="I41" s="269">
        <v>228312</v>
      </c>
      <c r="J41" s="270">
        <f t="shared" si="3"/>
        <v>29.77193005333368</v>
      </c>
    </row>
    <row r="42" spans="1:10" ht="25.5" x14ac:dyDescent="0.2">
      <c r="A42" s="175">
        <v>22</v>
      </c>
      <c r="B42" s="253" t="s">
        <v>1149</v>
      </c>
      <c r="C42" s="271" t="s">
        <v>187</v>
      </c>
      <c r="D42" s="276" t="s">
        <v>1107</v>
      </c>
      <c r="E42" s="200">
        <v>57</v>
      </c>
      <c r="F42" s="200">
        <v>57</v>
      </c>
      <c r="G42" s="223">
        <f t="shared" si="2"/>
        <v>100</v>
      </c>
      <c r="H42" s="155">
        <v>74167</v>
      </c>
      <c r="I42" s="269">
        <v>7530</v>
      </c>
      <c r="J42" s="270">
        <f t="shared" si="3"/>
        <v>10.152763358366929</v>
      </c>
    </row>
    <row r="43" spans="1:10" ht="27.75" customHeight="1" x14ac:dyDescent="0.2">
      <c r="A43" s="175">
        <v>23</v>
      </c>
      <c r="B43" s="253" t="s">
        <v>1148</v>
      </c>
      <c r="C43" s="271" t="s">
        <v>187</v>
      </c>
      <c r="D43" s="276" t="s">
        <v>1107</v>
      </c>
      <c r="E43" s="200">
        <v>50</v>
      </c>
      <c r="F43" s="200">
        <v>50</v>
      </c>
      <c r="G43" s="223">
        <f t="shared" si="2"/>
        <v>100</v>
      </c>
      <c r="H43" s="155">
        <v>69041</v>
      </c>
      <c r="I43" s="269">
        <v>6870</v>
      </c>
      <c r="J43" s="270">
        <f t="shared" si="3"/>
        <v>9.9506090583855968</v>
      </c>
    </row>
    <row r="44" spans="1:10" ht="33.75" customHeight="1" x14ac:dyDescent="0.2">
      <c r="A44" s="175">
        <v>24</v>
      </c>
      <c r="B44" s="253" t="s">
        <v>1147</v>
      </c>
      <c r="C44" s="271" t="s">
        <v>187</v>
      </c>
      <c r="D44" s="276" t="s">
        <v>1107</v>
      </c>
      <c r="E44" s="200">
        <v>75</v>
      </c>
      <c r="F44" s="200">
        <v>75</v>
      </c>
      <c r="G44" s="223">
        <f t="shared" si="2"/>
        <v>100</v>
      </c>
      <c r="H44" s="155">
        <v>45031</v>
      </c>
      <c r="I44" s="269">
        <v>5945</v>
      </c>
      <c r="J44" s="270">
        <f t="shared" si="3"/>
        <v>13.20201638871</v>
      </c>
    </row>
    <row r="45" spans="1:10" ht="41.25" customHeight="1" x14ac:dyDescent="0.2">
      <c r="A45" s="175">
        <v>25</v>
      </c>
      <c r="B45" s="253" t="s">
        <v>1117</v>
      </c>
      <c r="C45" s="277" t="s">
        <v>349</v>
      </c>
      <c r="D45" s="276" t="s">
        <v>1107</v>
      </c>
      <c r="E45" s="184">
        <v>1</v>
      </c>
      <c r="F45" s="200">
        <v>0.21</v>
      </c>
      <c r="G45" s="223">
        <f t="shared" si="2"/>
        <v>21</v>
      </c>
      <c r="H45" s="155">
        <v>105000</v>
      </c>
      <c r="I45" s="269">
        <v>218</v>
      </c>
      <c r="J45" s="270">
        <f t="shared" si="3"/>
        <v>0.20761904761904762</v>
      </c>
    </row>
    <row r="46" spans="1:10" ht="33" customHeight="1" x14ac:dyDescent="0.2">
      <c r="A46" s="175">
        <v>26</v>
      </c>
      <c r="B46" s="253" t="s">
        <v>1118</v>
      </c>
      <c r="C46" s="277" t="s">
        <v>186</v>
      </c>
      <c r="D46" s="276" t="s">
        <v>1107</v>
      </c>
      <c r="E46" s="184">
        <v>1</v>
      </c>
      <c r="F46" s="184"/>
      <c r="G46" s="223">
        <f t="shared" si="2"/>
        <v>0</v>
      </c>
      <c r="H46" s="155">
        <v>110000</v>
      </c>
      <c r="I46" s="269">
        <v>0</v>
      </c>
      <c r="J46" s="270">
        <f t="shared" si="3"/>
        <v>0</v>
      </c>
    </row>
    <row r="47" spans="1:10" ht="38.25" x14ac:dyDescent="0.2">
      <c r="A47" s="175">
        <v>27</v>
      </c>
      <c r="B47" s="253" t="s">
        <v>1119</v>
      </c>
      <c r="C47" s="277" t="s">
        <v>1140</v>
      </c>
      <c r="D47" s="276" t="s">
        <v>99</v>
      </c>
      <c r="E47" s="184">
        <v>1</v>
      </c>
      <c r="F47" s="184"/>
      <c r="G47" s="223">
        <f t="shared" si="2"/>
        <v>0</v>
      </c>
      <c r="H47" s="155">
        <v>58499</v>
      </c>
      <c r="I47" s="269">
        <v>0</v>
      </c>
      <c r="J47" s="270">
        <f t="shared" si="3"/>
        <v>0</v>
      </c>
    </row>
    <row r="48" spans="1:10" ht="38.25" x14ac:dyDescent="0.2">
      <c r="A48" s="175">
        <v>28</v>
      </c>
      <c r="B48" s="253" t="s">
        <v>1120</v>
      </c>
      <c r="C48" s="277" t="s">
        <v>349</v>
      </c>
      <c r="D48" s="276" t="s">
        <v>99</v>
      </c>
      <c r="E48" s="184">
        <v>1</v>
      </c>
      <c r="F48" s="200">
        <v>0.5</v>
      </c>
      <c r="G48" s="223">
        <f t="shared" si="2"/>
        <v>50</v>
      </c>
      <c r="H48" s="155">
        <v>79413</v>
      </c>
      <c r="I48" s="269">
        <v>410</v>
      </c>
      <c r="J48" s="270">
        <f t="shared" si="3"/>
        <v>0.51628826514550508</v>
      </c>
    </row>
    <row r="49" spans="1:10" ht="38.25" x14ac:dyDescent="0.2">
      <c r="A49" s="175">
        <v>29</v>
      </c>
      <c r="B49" s="253" t="s">
        <v>1121</v>
      </c>
      <c r="C49" s="277" t="s">
        <v>720</v>
      </c>
      <c r="D49" s="276" t="s">
        <v>99</v>
      </c>
      <c r="E49" s="184">
        <v>1</v>
      </c>
      <c r="F49" s="184"/>
      <c r="G49" s="223">
        <f t="shared" si="2"/>
        <v>0</v>
      </c>
      <c r="H49" s="155">
        <v>100000</v>
      </c>
      <c r="I49" s="269">
        <v>0</v>
      </c>
      <c r="J49" s="270">
        <f t="shared" si="3"/>
        <v>0</v>
      </c>
    </row>
    <row r="50" spans="1:10" ht="25.5" x14ac:dyDescent="0.2">
      <c r="A50" s="175">
        <v>30</v>
      </c>
      <c r="B50" s="253" t="s">
        <v>1122</v>
      </c>
      <c r="C50" s="277" t="s">
        <v>349</v>
      </c>
      <c r="D50" s="276" t="s">
        <v>1107</v>
      </c>
      <c r="E50" s="184">
        <v>1</v>
      </c>
      <c r="F50" s="184"/>
      <c r="G50" s="223">
        <f t="shared" si="2"/>
        <v>0</v>
      </c>
      <c r="H50" s="155">
        <v>100000</v>
      </c>
      <c r="I50" s="269">
        <v>0</v>
      </c>
      <c r="J50" s="270">
        <f t="shared" si="3"/>
        <v>0</v>
      </c>
    </row>
    <row r="51" spans="1:10" ht="38.25" x14ac:dyDescent="0.2">
      <c r="A51" s="175">
        <v>31</v>
      </c>
      <c r="B51" s="253" t="s">
        <v>1123</v>
      </c>
      <c r="C51" s="278" t="s">
        <v>735</v>
      </c>
      <c r="D51" s="276" t="s">
        <v>1107</v>
      </c>
      <c r="E51" s="184">
        <v>1</v>
      </c>
      <c r="F51" s="184">
        <v>2.5</v>
      </c>
      <c r="G51" s="223">
        <f t="shared" si="2"/>
        <v>250</v>
      </c>
      <c r="H51" s="155">
        <v>120000</v>
      </c>
      <c r="I51" s="269">
        <v>3284</v>
      </c>
      <c r="J51" s="270">
        <f t="shared" si="3"/>
        <v>2.7366666666666668</v>
      </c>
    </row>
    <row r="52" spans="1:10" ht="38.25" x14ac:dyDescent="0.2">
      <c r="A52" s="175">
        <v>32</v>
      </c>
      <c r="B52" s="253" t="s">
        <v>1124</v>
      </c>
      <c r="C52" s="278" t="s">
        <v>735</v>
      </c>
      <c r="D52" s="276" t="s">
        <v>1107</v>
      </c>
      <c r="E52" s="184">
        <v>1</v>
      </c>
      <c r="F52" s="184">
        <v>0.02</v>
      </c>
      <c r="G52" s="223">
        <f t="shared" si="2"/>
        <v>2</v>
      </c>
      <c r="H52" s="155">
        <v>130000</v>
      </c>
      <c r="I52" s="269">
        <v>2267</v>
      </c>
      <c r="J52" s="270">
        <f t="shared" si="3"/>
        <v>1.7438461538461538</v>
      </c>
    </row>
    <row r="53" spans="1:10" ht="27" customHeight="1" x14ac:dyDescent="0.2">
      <c r="A53" s="175">
        <v>33</v>
      </c>
      <c r="B53" s="253" t="s">
        <v>1125</v>
      </c>
      <c r="C53" s="277" t="s">
        <v>1139</v>
      </c>
      <c r="D53" s="276" t="s">
        <v>1107</v>
      </c>
      <c r="E53" s="184">
        <v>1</v>
      </c>
      <c r="F53" s="184">
        <v>7.0000000000000007E-2</v>
      </c>
      <c r="G53" s="223">
        <f t="shared" si="2"/>
        <v>7.0000000000000009</v>
      </c>
      <c r="H53" s="155">
        <v>160000</v>
      </c>
      <c r="I53" s="269">
        <v>11504</v>
      </c>
      <c r="J53" s="270">
        <f t="shared" si="3"/>
        <v>7.19</v>
      </c>
    </row>
    <row r="54" spans="1:10" ht="30.75" customHeight="1" x14ac:dyDescent="0.2">
      <c r="A54" s="175">
        <v>34</v>
      </c>
      <c r="B54" s="253" t="s">
        <v>1152</v>
      </c>
      <c r="C54" s="277" t="s">
        <v>188</v>
      </c>
      <c r="D54" s="276" t="s">
        <v>1107</v>
      </c>
      <c r="E54" s="184">
        <v>1</v>
      </c>
      <c r="F54" s="184">
        <v>0.85609999999999997</v>
      </c>
      <c r="G54" s="223">
        <f t="shared" si="2"/>
        <v>85.61</v>
      </c>
      <c r="H54" s="155">
        <v>110000</v>
      </c>
      <c r="I54" s="269">
        <v>91</v>
      </c>
      <c r="J54" s="270">
        <f t="shared" si="3"/>
        <v>8.2727272727272733E-2</v>
      </c>
    </row>
    <row r="55" spans="1:10" ht="16.5" customHeight="1" x14ac:dyDescent="0.2">
      <c r="A55" s="255">
        <v>3</v>
      </c>
      <c r="B55" s="187" t="s">
        <v>357</v>
      </c>
      <c r="C55" s="188"/>
      <c r="D55" s="188"/>
      <c r="E55" s="189"/>
      <c r="F55" s="189"/>
      <c r="G55" s="174"/>
      <c r="H55" s="173">
        <f>SUM(H56:H60)</f>
        <v>65974</v>
      </c>
      <c r="I55" s="174">
        <f>SUM(I56:I60)</f>
        <v>28467.829999999998</v>
      </c>
      <c r="J55" s="283">
        <f t="shared" si="3"/>
        <v>43.150074271682783</v>
      </c>
    </row>
    <row r="56" spans="1:10" ht="20.25" customHeight="1" x14ac:dyDescent="0.2">
      <c r="A56" s="279">
        <v>3</v>
      </c>
      <c r="B56" s="280" t="s">
        <v>435</v>
      </c>
      <c r="C56" s="193" t="s">
        <v>32</v>
      </c>
      <c r="D56" s="177" t="s">
        <v>41</v>
      </c>
      <c r="E56" s="194">
        <v>6</v>
      </c>
      <c r="F56" s="194">
        <v>9</v>
      </c>
      <c r="G56" s="223">
        <f t="shared" si="2"/>
        <v>150</v>
      </c>
      <c r="H56" s="226">
        <v>9760</v>
      </c>
      <c r="I56" s="282">
        <v>7966</v>
      </c>
      <c r="J56" s="284">
        <f t="shared" si="3"/>
        <v>81.618852459016395</v>
      </c>
    </row>
    <row r="57" spans="1:10" ht="25.5" x14ac:dyDescent="0.2">
      <c r="A57" s="288">
        <v>3.1</v>
      </c>
      <c r="B57" s="258" t="s">
        <v>436</v>
      </c>
      <c r="C57" s="193" t="s">
        <v>32</v>
      </c>
      <c r="D57" s="193" t="s">
        <v>438</v>
      </c>
      <c r="E57" s="233">
        <v>2</v>
      </c>
      <c r="F57" s="233">
        <v>6</v>
      </c>
      <c r="G57" s="223">
        <f t="shared" si="2"/>
        <v>300</v>
      </c>
      <c r="H57" s="233">
        <v>0</v>
      </c>
      <c r="I57" s="223">
        <v>0</v>
      </c>
      <c r="J57" s="284"/>
    </row>
    <row r="58" spans="1:10" ht="25.5" x14ac:dyDescent="0.2">
      <c r="A58" s="288">
        <v>3.2</v>
      </c>
      <c r="B58" s="258" t="s">
        <v>437</v>
      </c>
      <c r="C58" s="193" t="s">
        <v>32</v>
      </c>
      <c r="D58" s="193" t="s">
        <v>438</v>
      </c>
      <c r="E58" s="233">
        <v>3</v>
      </c>
      <c r="F58" s="233">
        <v>2</v>
      </c>
      <c r="G58" s="223">
        <f>+F58/E58*100</f>
        <v>66.666666666666657</v>
      </c>
      <c r="H58" s="233">
        <v>0</v>
      </c>
      <c r="I58" s="223">
        <v>0</v>
      </c>
      <c r="J58" s="284"/>
    </row>
    <row r="59" spans="1:10" ht="25.5" x14ac:dyDescent="0.2">
      <c r="A59" s="288">
        <v>3.3</v>
      </c>
      <c r="B59" s="281" t="s">
        <v>433</v>
      </c>
      <c r="C59" s="193" t="s">
        <v>32</v>
      </c>
      <c r="D59" s="193" t="s">
        <v>1144</v>
      </c>
      <c r="E59" s="194">
        <v>2</v>
      </c>
      <c r="F59" s="194">
        <v>2</v>
      </c>
      <c r="G59" s="223">
        <f t="shared" ref="G59:G60" si="4">+F59/E59*100</f>
        <v>100</v>
      </c>
      <c r="H59" s="233">
        <v>54135</v>
      </c>
      <c r="I59" s="223">
        <v>19670.23</v>
      </c>
      <c r="J59" s="284">
        <f t="shared" si="3"/>
        <v>36.335513069178901</v>
      </c>
    </row>
    <row r="60" spans="1:10" ht="17.25" customHeight="1" x14ac:dyDescent="0.2">
      <c r="A60" s="288">
        <v>3.4</v>
      </c>
      <c r="B60" s="258" t="s">
        <v>1128</v>
      </c>
      <c r="C60" s="197" t="s">
        <v>37</v>
      </c>
      <c r="D60" s="193" t="s">
        <v>110</v>
      </c>
      <c r="E60" s="194">
        <v>1</v>
      </c>
      <c r="F60" s="194">
        <v>1</v>
      </c>
      <c r="G60" s="223">
        <f t="shared" si="4"/>
        <v>100</v>
      </c>
      <c r="H60" s="233">
        <v>2079</v>
      </c>
      <c r="I60" s="198">
        <v>831.6</v>
      </c>
      <c r="J60" s="284">
        <f t="shared" si="3"/>
        <v>40</v>
      </c>
    </row>
    <row r="61" spans="1:10" ht="16.5" customHeight="1" x14ac:dyDescent="0.2">
      <c r="A61" s="2389" t="s">
        <v>375</v>
      </c>
      <c r="B61" s="2389"/>
      <c r="C61" s="480"/>
      <c r="D61" s="480"/>
      <c r="E61" s="482"/>
      <c r="F61" s="482"/>
      <c r="G61" s="482"/>
      <c r="H61" s="481">
        <f>+H62+H68+H76+H79+H84+H88+H94+H100+H102+H115+H119+H123+H125+H127+H129+H133+H135+H138</f>
        <v>879363</v>
      </c>
      <c r="I61" s="482">
        <f>+I62+I68+I76+I79+I84+I88+I94+I100+I102+I115+I119+I123+I125+I127+I129+I133+I135+I138</f>
        <v>342421.68</v>
      </c>
      <c r="J61" s="482">
        <f>+I61/H61*100</f>
        <v>38.939741608414273</v>
      </c>
    </row>
    <row r="62" spans="1:10" ht="18" customHeight="1" x14ac:dyDescent="0.2">
      <c r="A62" s="450">
        <v>1</v>
      </c>
      <c r="B62" s="461" t="s">
        <v>439</v>
      </c>
      <c r="C62" s="483"/>
      <c r="D62" s="385"/>
      <c r="E62" s="424"/>
      <c r="F62" s="424"/>
      <c r="G62" s="424"/>
      <c r="H62" s="424">
        <f>SUM(H63:H67)</f>
        <v>36900</v>
      </c>
      <c r="I62" s="451">
        <f>SUM(I63:I67)</f>
        <v>6899.68</v>
      </c>
      <c r="J62" s="451">
        <f>+I62/H62*100</f>
        <v>18.698319783197835</v>
      </c>
    </row>
    <row r="63" spans="1:10" ht="24.75" customHeight="1" x14ac:dyDescent="0.2">
      <c r="A63" s="446">
        <v>1.1000000000000001</v>
      </c>
      <c r="B63" s="447" t="s">
        <v>172</v>
      </c>
      <c r="C63" s="292" t="s">
        <v>32</v>
      </c>
      <c r="D63" s="412" t="s">
        <v>60</v>
      </c>
      <c r="E63" s="448">
        <v>8</v>
      </c>
      <c r="F63" s="448">
        <v>5</v>
      </c>
      <c r="G63" s="453">
        <v>62.5</v>
      </c>
      <c r="H63" s="378">
        <v>7200</v>
      </c>
      <c r="I63" s="449">
        <f>3600.68-1</f>
        <v>3599.68</v>
      </c>
      <c r="J63" s="449">
        <f>+I63/H63*100</f>
        <v>49.995555555555555</v>
      </c>
    </row>
    <row r="64" spans="1:10" ht="18" customHeight="1" x14ac:dyDescent="0.2">
      <c r="A64" s="446">
        <v>1.2</v>
      </c>
      <c r="B64" s="447" t="s">
        <v>173</v>
      </c>
      <c r="C64" s="292" t="s">
        <v>32</v>
      </c>
      <c r="D64" s="412" t="s">
        <v>97</v>
      </c>
      <c r="E64" s="448">
        <v>72</v>
      </c>
      <c r="F64" s="448">
        <v>41</v>
      </c>
      <c r="G64" s="453">
        <v>56.94</v>
      </c>
      <c r="H64" s="378">
        <v>3600</v>
      </c>
      <c r="I64" s="449">
        <v>1800</v>
      </c>
      <c r="J64" s="449">
        <f t="shared" ref="J64:J66" si="5">+I64/H64*100</f>
        <v>50</v>
      </c>
    </row>
    <row r="65" spans="1:10" ht="18" customHeight="1" x14ac:dyDescent="0.2">
      <c r="A65" s="446">
        <v>1</v>
      </c>
      <c r="B65" s="447" t="s">
        <v>174</v>
      </c>
      <c r="C65" s="292" t="s">
        <v>32</v>
      </c>
      <c r="D65" s="412" t="s">
        <v>112</v>
      </c>
      <c r="E65" s="448">
        <v>2</v>
      </c>
      <c r="F65" s="448">
        <v>0</v>
      </c>
      <c r="G65" s="448"/>
      <c r="H65" s="378">
        <v>4500</v>
      </c>
      <c r="I65" s="449">
        <v>0</v>
      </c>
      <c r="J65" s="449">
        <v>0</v>
      </c>
    </row>
    <row r="66" spans="1:10" ht="18" customHeight="1" x14ac:dyDescent="0.2">
      <c r="A66" s="446">
        <v>1.4</v>
      </c>
      <c r="B66" s="447" t="s">
        <v>440</v>
      </c>
      <c r="C66" s="292" t="s">
        <v>32</v>
      </c>
      <c r="D66" s="412" t="s">
        <v>41</v>
      </c>
      <c r="E66" s="448">
        <v>5</v>
      </c>
      <c r="F66" s="448">
        <v>1</v>
      </c>
      <c r="G66" s="448">
        <v>20</v>
      </c>
      <c r="H66" s="378">
        <v>18000</v>
      </c>
      <c r="I66" s="449">
        <v>1500</v>
      </c>
      <c r="J66" s="449">
        <f t="shared" si="5"/>
        <v>8.3333333333333321</v>
      </c>
    </row>
    <row r="67" spans="1:10" ht="18" customHeight="1" x14ac:dyDescent="0.2">
      <c r="A67" s="446">
        <v>1.5</v>
      </c>
      <c r="B67" s="447" t="s">
        <v>176</v>
      </c>
      <c r="C67" s="292" t="s">
        <v>32</v>
      </c>
      <c r="D67" s="412" t="s">
        <v>112</v>
      </c>
      <c r="E67" s="448">
        <v>2</v>
      </c>
      <c r="F67" s="448">
        <v>0</v>
      </c>
      <c r="G67" s="448">
        <v>0</v>
      </c>
      <c r="H67" s="378">
        <v>3600</v>
      </c>
      <c r="I67" s="448">
        <v>0</v>
      </c>
      <c r="J67" s="449">
        <v>0</v>
      </c>
    </row>
    <row r="68" spans="1:10" ht="18" customHeight="1" x14ac:dyDescent="0.2">
      <c r="A68" s="450">
        <v>1</v>
      </c>
      <c r="B68" s="410" t="s">
        <v>1567</v>
      </c>
      <c r="C68" s="385"/>
      <c r="D68" s="385"/>
      <c r="E68" s="424"/>
      <c r="F68" s="424"/>
      <c r="G68" s="424"/>
      <c r="H68" s="424">
        <f>SUM(H69:H75)</f>
        <v>66500</v>
      </c>
      <c r="I68" s="451">
        <f>SUM(I69:I75)</f>
        <v>26340</v>
      </c>
      <c r="J68" s="451">
        <f>+I68/H68*100</f>
        <v>39.609022556390975</v>
      </c>
    </row>
    <row r="69" spans="1:10" ht="18.75" customHeight="1" x14ac:dyDescent="0.2">
      <c r="A69" s="446">
        <v>1.1000000000000001</v>
      </c>
      <c r="B69" s="447" t="s">
        <v>1568</v>
      </c>
      <c r="C69" s="292" t="s">
        <v>32</v>
      </c>
      <c r="D69" s="412" t="s">
        <v>75</v>
      </c>
      <c r="E69" s="448">
        <v>36</v>
      </c>
      <c r="F69" s="448">
        <v>26</v>
      </c>
      <c r="G69" s="452">
        <f>+F69/E69*100</f>
        <v>72.222222222222214</v>
      </c>
      <c r="H69" s="418">
        <v>10500</v>
      </c>
      <c r="I69" s="452">
        <v>5000</v>
      </c>
      <c r="J69" s="452">
        <f>+I69/H69*100</f>
        <v>47.619047619047613</v>
      </c>
    </row>
    <row r="70" spans="1:10" ht="17.25" customHeight="1" x14ac:dyDescent="0.2">
      <c r="A70" s="446">
        <v>1.2</v>
      </c>
      <c r="B70" s="447" t="s">
        <v>1569</v>
      </c>
      <c r="C70" s="292" t="s">
        <v>32</v>
      </c>
      <c r="D70" s="412" t="s">
        <v>112</v>
      </c>
      <c r="E70" s="448">
        <v>12</v>
      </c>
      <c r="F70" s="448">
        <v>7</v>
      </c>
      <c r="G70" s="452">
        <f t="shared" ref="G70:G73" si="6">+F70/E70*100</f>
        <v>58.333333333333336</v>
      </c>
      <c r="H70" s="418">
        <v>4500</v>
      </c>
      <c r="I70" s="452">
        <v>1540</v>
      </c>
      <c r="J70" s="452">
        <f t="shared" ref="J70:J83" si="7">+I70/H70*100</f>
        <v>34.222222222222221</v>
      </c>
    </row>
    <row r="71" spans="1:10" ht="18.75" customHeight="1" x14ac:dyDescent="0.2">
      <c r="A71" s="446">
        <v>1.3</v>
      </c>
      <c r="B71" s="447" t="s">
        <v>1570</v>
      </c>
      <c r="C71" s="292" t="s">
        <v>32</v>
      </c>
      <c r="D71" s="859" t="s">
        <v>60</v>
      </c>
      <c r="E71" s="448">
        <v>20</v>
      </c>
      <c r="F71" s="448">
        <v>11</v>
      </c>
      <c r="G71" s="452">
        <f t="shared" si="6"/>
        <v>55.000000000000007</v>
      </c>
      <c r="H71" s="418">
        <v>9000</v>
      </c>
      <c r="I71" s="452">
        <v>4000</v>
      </c>
      <c r="J71" s="452">
        <f t="shared" si="7"/>
        <v>44.444444444444443</v>
      </c>
    </row>
    <row r="72" spans="1:10" ht="26.25" customHeight="1" x14ac:dyDescent="0.2">
      <c r="A72" s="446">
        <v>1.4</v>
      </c>
      <c r="B72" s="447" t="s">
        <v>1571</v>
      </c>
      <c r="C72" s="292" t="s">
        <v>32</v>
      </c>
      <c r="D72" s="859" t="s">
        <v>1572</v>
      </c>
      <c r="E72" s="448">
        <v>2</v>
      </c>
      <c r="F72" s="453">
        <v>0.01</v>
      </c>
      <c r="G72" s="452">
        <f t="shared" si="6"/>
        <v>0.5</v>
      </c>
      <c r="H72" s="418">
        <v>20000</v>
      </c>
      <c r="I72" s="452">
        <v>11500</v>
      </c>
      <c r="J72" s="452">
        <f t="shared" si="7"/>
        <v>57.499999999999993</v>
      </c>
    </row>
    <row r="73" spans="1:10" ht="25.5" customHeight="1" x14ac:dyDescent="0.2">
      <c r="A73" s="446">
        <v>1.5</v>
      </c>
      <c r="B73" s="447" t="s">
        <v>1573</v>
      </c>
      <c r="C73" s="292" t="s">
        <v>32</v>
      </c>
      <c r="D73" s="859" t="s">
        <v>112</v>
      </c>
      <c r="E73" s="448">
        <v>36</v>
      </c>
      <c r="F73" s="448">
        <v>14</v>
      </c>
      <c r="G73" s="452">
        <f t="shared" si="6"/>
        <v>38.888888888888893</v>
      </c>
      <c r="H73" s="418">
        <v>12600</v>
      </c>
      <c r="I73" s="452">
        <v>4300</v>
      </c>
      <c r="J73" s="452">
        <f t="shared" si="7"/>
        <v>34.126984126984127</v>
      </c>
    </row>
    <row r="74" spans="1:10" ht="21.75" customHeight="1" x14ac:dyDescent="0.2">
      <c r="A74" s="446">
        <v>1.6</v>
      </c>
      <c r="B74" s="447" t="s">
        <v>1574</v>
      </c>
      <c r="C74" s="292" t="s">
        <v>32</v>
      </c>
      <c r="D74" s="412" t="s">
        <v>1575</v>
      </c>
      <c r="E74" s="448">
        <v>2</v>
      </c>
      <c r="F74" s="448" t="s">
        <v>1577</v>
      </c>
      <c r="G74" s="448" t="s">
        <v>1577</v>
      </c>
      <c r="H74" s="418">
        <v>4500</v>
      </c>
      <c r="I74" s="452" t="s">
        <v>1577</v>
      </c>
      <c r="J74" s="452">
        <v>0</v>
      </c>
    </row>
    <row r="75" spans="1:10" ht="18" customHeight="1" x14ac:dyDescent="0.2">
      <c r="A75" s="446">
        <v>1.7</v>
      </c>
      <c r="B75" s="447" t="s">
        <v>1576</v>
      </c>
      <c r="C75" s="292" t="s">
        <v>32</v>
      </c>
      <c r="D75" s="412" t="s">
        <v>161</v>
      </c>
      <c r="E75" s="448">
        <v>1</v>
      </c>
      <c r="F75" s="448" t="s">
        <v>1577</v>
      </c>
      <c r="G75" s="448" t="s">
        <v>1577</v>
      </c>
      <c r="H75" s="418">
        <v>5400</v>
      </c>
      <c r="I75" s="452" t="s">
        <v>1577</v>
      </c>
      <c r="J75" s="452">
        <v>0</v>
      </c>
    </row>
    <row r="76" spans="1:10" ht="18" customHeight="1" x14ac:dyDescent="0.2">
      <c r="A76" s="454" t="s">
        <v>306</v>
      </c>
      <c r="B76" s="410" t="s">
        <v>1578</v>
      </c>
      <c r="C76" s="385"/>
      <c r="D76" s="455"/>
      <c r="E76" s="456"/>
      <c r="F76" s="456"/>
      <c r="G76" s="456"/>
      <c r="H76" s="424">
        <f>SUM(H77:H78)</f>
        <v>28000</v>
      </c>
      <c r="I76" s="451">
        <f>SUM(I77:I78)</f>
        <v>8000</v>
      </c>
      <c r="J76" s="451">
        <f>+I76/H76*100</f>
        <v>28.571428571428569</v>
      </c>
    </row>
    <row r="77" spans="1:10" ht="18" customHeight="1" x14ac:dyDescent="0.2">
      <c r="A77" s="457" t="s">
        <v>441</v>
      </c>
      <c r="B77" s="401" t="s">
        <v>1579</v>
      </c>
      <c r="C77" s="292" t="s">
        <v>32</v>
      </c>
      <c r="D77" s="298" t="s">
        <v>1580</v>
      </c>
      <c r="E77" s="425">
        <v>40</v>
      </c>
      <c r="F77" s="425">
        <v>39</v>
      </c>
      <c r="G77" s="425">
        <v>97.5</v>
      </c>
      <c r="H77" s="448">
        <v>14000</v>
      </c>
      <c r="I77" s="453">
        <v>8000</v>
      </c>
      <c r="J77" s="452">
        <f t="shared" si="7"/>
        <v>57.142857142857139</v>
      </c>
    </row>
    <row r="78" spans="1:10" ht="18.75" customHeight="1" x14ac:dyDescent="0.2">
      <c r="A78" s="457" t="s">
        <v>442</v>
      </c>
      <c r="B78" s="401" t="s">
        <v>1581</v>
      </c>
      <c r="C78" s="292" t="s">
        <v>32</v>
      </c>
      <c r="D78" s="292" t="s">
        <v>1582</v>
      </c>
      <c r="E78" s="448">
        <v>10</v>
      </c>
      <c r="F78" s="448" t="s">
        <v>1577</v>
      </c>
      <c r="G78" s="448" t="s">
        <v>1577</v>
      </c>
      <c r="H78" s="418">
        <v>14000</v>
      </c>
      <c r="I78" s="453" t="s">
        <v>1577</v>
      </c>
      <c r="J78" s="452">
        <v>0</v>
      </c>
    </row>
    <row r="79" spans="1:10" ht="19.5" customHeight="1" x14ac:dyDescent="0.2">
      <c r="A79" s="454" t="s">
        <v>370</v>
      </c>
      <c r="B79" s="410" t="s">
        <v>1583</v>
      </c>
      <c r="C79" s="385"/>
      <c r="D79" s="458"/>
      <c r="E79" s="459"/>
      <c r="F79" s="459"/>
      <c r="G79" s="459"/>
      <c r="H79" s="424">
        <f>SUM(H80:H83)</f>
        <v>31000</v>
      </c>
      <c r="I79" s="451">
        <f>SUM(I80:I83)</f>
        <v>11000</v>
      </c>
      <c r="J79" s="451">
        <f>+I79/H79*100</f>
        <v>35.483870967741936</v>
      </c>
    </row>
    <row r="80" spans="1:10" ht="27.75" customHeight="1" x14ac:dyDescent="0.2">
      <c r="A80" s="457" t="s">
        <v>1584</v>
      </c>
      <c r="B80" s="401" t="s">
        <v>1585</v>
      </c>
      <c r="C80" s="292" t="s">
        <v>32</v>
      </c>
      <c r="D80" s="292" t="s">
        <v>1575</v>
      </c>
      <c r="E80" s="448">
        <v>4</v>
      </c>
      <c r="F80" s="448">
        <v>0</v>
      </c>
      <c r="G80" s="448">
        <v>0</v>
      </c>
      <c r="H80" s="418">
        <v>7000</v>
      </c>
      <c r="I80" s="448">
        <v>0</v>
      </c>
      <c r="J80" s="452">
        <v>0</v>
      </c>
    </row>
    <row r="81" spans="1:10" ht="21.75" customHeight="1" x14ac:dyDescent="0.2">
      <c r="A81" s="457" t="s">
        <v>443</v>
      </c>
      <c r="B81" s="401" t="s">
        <v>1586</v>
      </c>
      <c r="C81" s="292" t="s">
        <v>32</v>
      </c>
      <c r="D81" s="292" t="s">
        <v>1587</v>
      </c>
      <c r="E81" s="448">
        <v>25</v>
      </c>
      <c r="F81" s="448">
        <v>10</v>
      </c>
      <c r="G81" s="448">
        <v>40</v>
      </c>
      <c r="H81" s="418">
        <v>9000</v>
      </c>
      <c r="I81" s="452">
        <v>3500</v>
      </c>
      <c r="J81" s="452">
        <f t="shared" si="7"/>
        <v>38.888888888888893</v>
      </c>
    </row>
    <row r="82" spans="1:10" ht="21" customHeight="1" x14ac:dyDescent="0.2">
      <c r="A82" s="457" t="s">
        <v>444</v>
      </c>
      <c r="B82" s="401" t="s">
        <v>1588</v>
      </c>
      <c r="C82" s="292" t="s">
        <v>32</v>
      </c>
      <c r="D82" s="292" t="s">
        <v>60</v>
      </c>
      <c r="E82" s="448">
        <v>6</v>
      </c>
      <c r="F82" s="448">
        <v>6</v>
      </c>
      <c r="G82" s="448">
        <v>100</v>
      </c>
      <c r="H82" s="418">
        <v>7000</v>
      </c>
      <c r="I82" s="452">
        <v>4000</v>
      </c>
      <c r="J82" s="452">
        <f t="shared" si="7"/>
        <v>57.142857142857139</v>
      </c>
    </row>
    <row r="83" spans="1:10" ht="18.75" customHeight="1" x14ac:dyDescent="0.2">
      <c r="A83" s="457" t="s">
        <v>445</v>
      </c>
      <c r="B83" s="401" t="s">
        <v>1589</v>
      </c>
      <c r="C83" s="292" t="s">
        <v>32</v>
      </c>
      <c r="D83" s="292" t="s">
        <v>75</v>
      </c>
      <c r="E83" s="448">
        <v>6</v>
      </c>
      <c r="F83" s="448">
        <v>7</v>
      </c>
      <c r="G83" s="453">
        <v>116.66</v>
      </c>
      <c r="H83" s="418">
        <v>8000</v>
      </c>
      <c r="I83" s="452">
        <v>3500</v>
      </c>
      <c r="J83" s="452">
        <f t="shared" si="7"/>
        <v>43.75</v>
      </c>
    </row>
    <row r="84" spans="1:10" ht="16.5" customHeight="1" x14ac:dyDescent="0.2">
      <c r="A84" s="454" t="s">
        <v>369</v>
      </c>
      <c r="B84" s="410" t="s">
        <v>1590</v>
      </c>
      <c r="C84" s="385"/>
      <c r="D84" s="458"/>
      <c r="E84" s="459"/>
      <c r="F84" s="459"/>
      <c r="G84" s="459"/>
      <c r="H84" s="424">
        <f>SUM(H85:H87)</f>
        <v>20000</v>
      </c>
      <c r="I84" s="451">
        <f>SUM(I85:I87)</f>
        <v>7000</v>
      </c>
      <c r="J84" s="451">
        <f>+I84/H84*100</f>
        <v>35</v>
      </c>
    </row>
    <row r="85" spans="1:10" ht="24" customHeight="1" x14ac:dyDescent="0.2">
      <c r="A85" s="457" t="s">
        <v>307</v>
      </c>
      <c r="B85" s="401" t="s">
        <v>1591</v>
      </c>
      <c r="C85" s="292" t="s">
        <v>32</v>
      </c>
      <c r="D85" s="412" t="s">
        <v>1592</v>
      </c>
      <c r="E85" s="448">
        <v>60</v>
      </c>
      <c r="F85" s="448">
        <v>34</v>
      </c>
      <c r="G85" s="453">
        <v>56.66</v>
      </c>
      <c r="H85" s="418">
        <v>7000</v>
      </c>
      <c r="I85" s="452">
        <v>3000</v>
      </c>
      <c r="J85" s="452">
        <f t="shared" ref="J85:J86" si="8">+I85/H85*100</f>
        <v>42.857142857142854</v>
      </c>
    </row>
    <row r="86" spans="1:10" ht="25.5" x14ac:dyDescent="0.2">
      <c r="A86" s="457" t="s">
        <v>376</v>
      </c>
      <c r="B86" s="460" t="s">
        <v>1593</v>
      </c>
      <c r="C86" s="292" t="s">
        <v>32</v>
      </c>
      <c r="D86" s="292" t="s">
        <v>98</v>
      </c>
      <c r="E86" s="448">
        <v>20</v>
      </c>
      <c r="F86" s="448">
        <v>22</v>
      </c>
      <c r="G86" s="448">
        <v>110</v>
      </c>
      <c r="H86" s="418">
        <v>10000</v>
      </c>
      <c r="I86" s="452">
        <v>4000</v>
      </c>
      <c r="J86" s="452">
        <f t="shared" si="8"/>
        <v>40</v>
      </c>
    </row>
    <row r="87" spans="1:10" ht="27.75" customHeight="1" x14ac:dyDescent="0.2">
      <c r="A87" s="457" t="s">
        <v>446</v>
      </c>
      <c r="B87" s="460" t="s">
        <v>1594</v>
      </c>
      <c r="C87" s="292" t="s">
        <v>32</v>
      </c>
      <c r="D87" s="292" t="s">
        <v>77</v>
      </c>
      <c r="E87" s="448">
        <v>3</v>
      </c>
      <c r="F87" s="448"/>
      <c r="G87" s="448"/>
      <c r="H87" s="418">
        <v>3000</v>
      </c>
      <c r="I87" s="448">
        <v>0</v>
      </c>
      <c r="J87" s="452">
        <v>0</v>
      </c>
    </row>
    <row r="88" spans="1:10" ht="20.25" customHeight="1" x14ac:dyDescent="0.2">
      <c r="A88" s="454" t="s">
        <v>447</v>
      </c>
      <c r="B88" s="410" t="s">
        <v>1595</v>
      </c>
      <c r="C88" s="385"/>
      <c r="D88" s="458"/>
      <c r="E88" s="459"/>
      <c r="F88" s="459"/>
      <c r="G88" s="459"/>
      <c r="H88" s="424">
        <f>SUM(H89:H93)</f>
        <v>27000</v>
      </c>
      <c r="I88" s="451">
        <f>SUM(I89:I93)</f>
        <v>5100</v>
      </c>
      <c r="J88" s="451">
        <f>+I88/H88*100</f>
        <v>18.888888888888889</v>
      </c>
    </row>
    <row r="89" spans="1:10" ht="26.25" customHeight="1" x14ac:dyDescent="0.2">
      <c r="A89" s="457" t="s">
        <v>1596</v>
      </c>
      <c r="B89" s="460" t="s">
        <v>1597</v>
      </c>
      <c r="C89" s="292" t="s">
        <v>32</v>
      </c>
      <c r="D89" s="292" t="s">
        <v>106</v>
      </c>
      <c r="E89" s="448">
        <v>12</v>
      </c>
      <c r="F89" s="448">
        <v>2</v>
      </c>
      <c r="G89" s="453">
        <v>16.66</v>
      </c>
      <c r="H89" s="418">
        <v>5400</v>
      </c>
      <c r="I89" s="452">
        <v>1000</v>
      </c>
      <c r="J89" s="452">
        <f>+I89/H89*100</f>
        <v>18.518518518518519</v>
      </c>
    </row>
    <row r="90" spans="1:10" ht="26.25" customHeight="1" x14ac:dyDescent="0.2">
      <c r="A90" s="457" t="s">
        <v>1598</v>
      </c>
      <c r="B90" s="460" t="s">
        <v>1599</v>
      </c>
      <c r="C90" s="292" t="s">
        <v>32</v>
      </c>
      <c r="D90" s="292" t="s">
        <v>75</v>
      </c>
      <c r="E90" s="448">
        <v>12</v>
      </c>
      <c r="F90" s="448">
        <v>6</v>
      </c>
      <c r="G90" s="448">
        <v>50</v>
      </c>
      <c r="H90" s="418">
        <v>1800</v>
      </c>
      <c r="I90" s="452">
        <v>1000</v>
      </c>
      <c r="J90" s="452">
        <f t="shared" ref="J90:J93" si="9">+I90/H90*100</f>
        <v>55.555555555555557</v>
      </c>
    </row>
    <row r="91" spans="1:10" ht="22.5" customHeight="1" x14ac:dyDescent="0.2">
      <c r="A91" s="457" t="s">
        <v>1600</v>
      </c>
      <c r="B91" s="401" t="s">
        <v>1601</v>
      </c>
      <c r="C91" s="292" t="s">
        <v>32</v>
      </c>
      <c r="D91" s="292" t="s">
        <v>75</v>
      </c>
      <c r="E91" s="448">
        <v>12</v>
      </c>
      <c r="F91" s="448">
        <v>4</v>
      </c>
      <c r="G91" s="453">
        <v>33.33</v>
      </c>
      <c r="H91" s="418">
        <v>1800</v>
      </c>
      <c r="I91" s="452">
        <v>600</v>
      </c>
      <c r="J91" s="452">
        <f t="shared" si="9"/>
        <v>33.333333333333329</v>
      </c>
    </row>
    <row r="92" spans="1:10" ht="19.5" customHeight="1" x14ac:dyDescent="0.2">
      <c r="A92" s="457" t="s">
        <v>1602</v>
      </c>
      <c r="B92" s="401" t="s">
        <v>1603</v>
      </c>
      <c r="C92" s="292" t="s">
        <v>32</v>
      </c>
      <c r="D92" s="292" t="s">
        <v>106</v>
      </c>
      <c r="E92" s="448">
        <v>12</v>
      </c>
      <c r="F92" s="448">
        <v>1</v>
      </c>
      <c r="G92" s="453">
        <v>8.33</v>
      </c>
      <c r="H92" s="418">
        <v>9000</v>
      </c>
      <c r="I92" s="452">
        <v>800</v>
      </c>
      <c r="J92" s="452">
        <f t="shared" si="9"/>
        <v>8.8888888888888893</v>
      </c>
    </row>
    <row r="93" spans="1:10" ht="18" customHeight="1" x14ac:dyDescent="0.2">
      <c r="A93" s="457" t="s">
        <v>1604</v>
      </c>
      <c r="B93" s="401" t="s">
        <v>1605</v>
      </c>
      <c r="C93" s="292" t="s">
        <v>32</v>
      </c>
      <c r="D93" s="292" t="s">
        <v>41</v>
      </c>
      <c r="E93" s="448">
        <v>6</v>
      </c>
      <c r="F93" s="448">
        <v>1</v>
      </c>
      <c r="G93" s="453">
        <v>16.66</v>
      </c>
      <c r="H93" s="418">
        <v>9000</v>
      </c>
      <c r="I93" s="452">
        <v>1700</v>
      </c>
      <c r="J93" s="452">
        <f t="shared" si="9"/>
        <v>18.888888888888889</v>
      </c>
    </row>
    <row r="94" spans="1:10" ht="17.25" customHeight="1" x14ac:dyDescent="0.2">
      <c r="A94" s="454" t="s">
        <v>448</v>
      </c>
      <c r="B94" s="410" t="s">
        <v>1642</v>
      </c>
      <c r="C94" s="455"/>
      <c r="D94" s="355"/>
      <c r="E94" s="459"/>
      <c r="F94" s="459"/>
      <c r="G94" s="459"/>
      <c r="H94" s="424">
        <f>SUM(H95:H98)</f>
        <v>26100</v>
      </c>
      <c r="I94" s="451">
        <f>SUM(I95:I98)</f>
        <v>9500</v>
      </c>
      <c r="J94" s="451">
        <f>+I94/H94*100</f>
        <v>36.398467432950191</v>
      </c>
    </row>
    <row r="95" spans="1:10" ht="20.25" customHeight="1" x14ac:dyDescent="0.2">
      <c r="A95" s="457" t="s">
        <v>1643</v>
      </c>
      <c r="B95" s="401" t="s">
        <v>1644</v>
      </c>
      <c r="C95" s="292" t="s">
        <v>32</v>
      </c>
      <c r="D95" s="292" t="s">
        <v>112</v>
      </c>
      <c r="E95" s="448">
        <v>6</v>
      </c>
      <c r="F95" s="448">
        <v>2</v>
      </c>
      <c r="G95" s="453">
        <v>33.33</v>
      </c>
      <c r="H95" s="378">
        <v>5400</v>
      </c>
      <c r="I95" s="449">
        <v>1800</v>
      </c>
      <c r="J95" s="449">
        <f>+I95/H95*100</f>
        <v>33.333333333333329</v>
      </c>
    </row>
    <row r="96" spans="1:10" ht="18" customHeight="1" x14ac:dyDescent="0.2">
      <c r="A96" s="457" t="s">
        <v>1645</v>
      </c>
      <c r="B96" s="401" t="s">
        <v>1646</v>
      </c>
      <c r="C96" s="292" t="s">
        <v>32</v>
      </c>
      <c r="D96" s="292" t="s">
        <v>1647</v>
      </c>
      <c r="E96" s="448">
        <v>12</v>
      </c>
      <c r="F96" s="448">
        <v>7</v>
      </c>
      <c r="G96" s="453">
        <v>58.33</v>
      </c>
      <c r="H96" s="378">
        <v>10800</v>
      </c>
      <c r="I96" s="449">
        <v>5000</v>
      </c>
      <c r="J96" s="449">
        <f t="shared" ref="J96:J99" si="10">+I96/H96*100</f>
        <v>46.296296296296298</v>
      </c>
    </row>
    <row r="97" spans="1:10" ht="18" customHeight="1" x14ac:dyDescent="0.2">
      <c r="A97" s="457" t="s">
        <v>1648</v>
      </c>
      <c r="B97" s="401" t="s">
        <v>1649</v>
      </c>
      <c r="C97" s="292" t="s">
        <v>32</v>
      </c>
      <c r="D97" s="292" t="s">
        <v>1614</v>
      </c>
      <c r="E97" s="448">
        <v>6</v>
      </c>
      <c r="F97" s="448">
        <v>3</v>
      </c>
      <c r="G97" s="453">
        <v>50</v>
      </c>
      <c r="H97" s="378">
        <v>5400</v>
      </c>
      <c r="I97" s="449">
        <v>2700</v>
      </c>
      <c r="J97" s="449">
        <f t="shared" si="10"/>
        <v>50</v>
      </c>
    </row>
    <row r="98" spans="1:10" ht="18" customHeight="1" x14ac:dyDescent="0.2">
      <c r="A98" s="466">
        <v>6.4</v>
      </c>
      <c r="B98" s="484" t="s">
        <v>1650</v>
      </c>
      <c r="C98" s="292" t="s">
        <v>32</v>
      </c>
      <c r="D98" s="292" t="s">
        <v>75</v>
      </c>
      <c r="E98" s="448">
        <v>2</v>
      </c>
      <c r="F98" s="448"/>
      <c r="G98" s="448"/>
      <c r="H98" s="378">
        <v>4500</v>
      </c>
      <c r="I98" s="448">
        <v>0</v>
      </c>
      <c r="J98" s="449">
        <v>0</v>
      </c>
    </row>
    <row r="99" spans="1:10" ht="18" customHeight="1" x14ac:dyDescent="0.2">
      <c r="A99" s="474"/>
      <c r="B99" s="497" t="s">
        <v>1606</v>
      </c>
      <c r="C99" s="476"/>
      <c r="D99" s="477"/>
      <c r="E99" s="416"/>
      <c r="F99" s="416"/>
      <c r="G99" s="863"/>
      <c r="H99" s="424">
        <f>+H100+H102+H115+H119+H123+H125+H127</f>
        <v>22198</v>
      </c>
      <c r="I99" s="451">
        <f>+I100+I102+I115+I119+I123+I125+I127</f>
        <v>4686.78</v>
      </c>
      <c r="J99" s="478">
        <f t="shared" si="10"/>
        <v>21.113523740877554</v>
      </c>
    </row>
    <row r="100" spans="1:10" ht="40.5" customHeight="1" x14ac:dyDescent="0.2">
      <c r="A100" s="454" t="s">
        <v>744</v>
      </c>
      <c r="B100" s="461" t="s">
        <v>1608</v>
      </c>
      <c r="C100" s="455"/>
      <c r="D100" s="458"/>
      <c r="E100" s="459"/>
      <c r="F100" s="459"/>
      <c r="G100" s="459"/>
      <c r="H100" s="424">
        <f>+H101</f>
        <v>4000</v>
      </c>
      <c r="I100" s="451">
        <f>+I101</f>
        <v>900</v>
      </c>
      <c r="J100" s="462">
        <f t="shared" ref="J100:J113" si="11">+I100/H100*100</f>
        <v>22.5</v>
      </c>
    </row>
    <row r="101" spans="1:10" ht="28.5" customHeight="1" x14ac:dyDescent="0.2">
      <c r="A101" s="457" t="s">
        <v>1664</v>
      </c>
      <c r="B101" s="463" t="s">
        <v>1610</v>
      </c>
      <c r="C101" s="292" t="s">
        <v>32</v>
      </c>
      <c r="D101" s="292" t="s">
        <v>180</v>
      </c>
      <c r="E101" s="456">
        <v>15</v>
      </c>
      <c r="F101" s="456">
        <v>9</v>
      </c>
      <c r="G101" s="499">
        <v>60</v>
      </c>
      <c r="H101" s="448">
        <v>4000</v>
      </c>
      <c r="I101" s="453">
        <v>900</v>
      </c>
      <c r="J101" s="453">
        <f>+I101/H101*100</f>
        <v>22.5</v>
      </c>
    </row>
    <row r="102" spans="1:10" ht="41.25" customHeight="1" x14ac:dyDescent="0.2">
      <c r="A102" s="454" t="s">
        <v>1607</v>
      </c>
      <c r="B102" s="461" t="s">
        <v>1611</v>
      </c>
      <c r="C102" s="455"/>
      <c r="D102" s="455"/>
      <c r="E102" s="459"/>
      <c r="F102" s="459"/>
      <c r="G102" s="459"/>
      <c r="H102" s="424">
        <f>SUM(H103:H114)</f>
        <v>1050</v>
      </c>
      <c r="I102" s="451">
        <v>310</v>
      </c>
      <c r="J102" s="462">
        <f t="shared" si="11"/>
        <v>29.523809523809526</v>
      </c>
    </row>
    <row r="103" spans="1:10" ht="19.5" customHeight="1" x14ac:dyDescent="0.2">
      <c r="A103" s="457" t="s">
        <v>1609</v>
      </c>
      <c r="B103" s="401" t="s">
        <v>1613</v>
      </c>
      <c r="C103" s="292" t="s">
        <v>32</v>
      </c>
      <c r="D103" s="292" t="s">
        <v>1614</v>
      </c>
      <c r="E103" s="448">
        <v>30</v>
      </c>
      <c r="F103" s="448">
        <v>60</v>
      </c>
      <c r="G103" s="453">
        <v>200</v>
      </c>
      <c r="H103" s="418">
        <v>150</v>
      </c>
      <c r="I103" s="452">
        <v>40</v>
      </c>
      <c r="J103" s="453">
        <f t="shared" si="11"/>
        <v>26.666666666666668</v>
      </c>
    </row>
    <row r="104" spans="1:10" ht="27" customHeight="1" x14ac:dyDescent="0.2">
      <c r="A104" s="457" t="s">
        <v>1665</v>
      </c>
      <c r="B104" s="460" t="s">
        <v>1616</v>
      </c>
      <c r="C104" s="292" t="s">
        <v>32</v>
      </c>
      <c r="D104" s="292" t="s">
        <v>1614</v>
      </c>
      <c r="E104" s="448">
        <v>2</v>
      </c>
      <c r="F104" s="448">
        <v>3</v>
      </c>
      <c r="G104" s="453">
        <v>150</v>
      </c>
      <c r="H104" s="418">
        <v>100</v>
      </c>
      <c r="I104" s="452">
        <v>40</v>
      </c>
      <c r="J104" s="453">
        <f t="shared" si="11"/>
        <v>40</v>
      </c>
    </row>
    <row r="105" spans="1:10" ht="18" customHeight="1" x14ac:dyDescent="0.2">
      <c r="A105" s="457" t="s">
        <v>1666</v>
      </c>
      <c r="B105" s="401" t="s">
        <v>1618</v>
      </c>
      <c r="C105" s="292" t="s">
        <v>32</v>
      </c>
      <c r="D105" s="292" t="s">
        <v>160</v>
      </c>
      <c r="E105" s="448">
        <v>1</v>
      </c>
      <c r="F105" s="448">
        <v>2</v>
      </c>
      <c r="G105" s="453">
        <v>200</v>
      </c>
      <c r="H105" s="418">
        <v>50</v>
      </c>
      <c r="I105" s="452">
        <v>30</v>
      </c>
      <c r="J105" s="453">
        <f t="shared" si="11"/>
        <v>60</v>
      </c>
    </row>
    <row r="106" spans="1:10" ht="18" customHeight="1" x14ac:dyDescent="0.2">
      <c r="A106" s="457" t="s">
        <v>1667</v>
      </c>
      <c r="B106" s="401" t="s">
        <v>1619</v>
      </c>
      <c r="C106" s="292" t="s">
        <v>32</v>
      </c>
      <c r="D106" s="292" t="s">
        <v>160</v>
      </c>
      <c r="E106" s="448">
        <v>1</v>
      </c>
      <c r="F106" s="448" t="s">
        <v>1577</v>
      </c>
      <c r="G106" s="448" t="s">
        <v>1577</v>
      </c>
      <c r="H106" s="418">
        <v>50</v>
      </c>
      <c r="I106" s="453" t="s">
        <v>1577</v>
      </c>
      <c r="J106" s="453">
        <v>0</v>
      </c>
    </row>
    <row r="107" spans="1:10" ht="18" customHeight="1" x14ac:dyDescent="0.2">
      <c r="A107" s="457" t="s">
        <v>1668</v>
      </c>
      <c r="B107" s="401" t="s">
        <v>2496</v>
      </c>
      <c r="C107" s="292" t="s">
        <v>32</v>
      </c>
      <c r="D107" s="292" t="s">
        <v>112</v>
      </c>
      <c r="E107" s="448">
        <v>60</v>
      </c>
      <c r="F107" s="448">
        <v>122</v>
      </c>
      <c r="G107" s="453">
        <v>203.33</v>
      </c>
      <c r="H107" s="418">
        <v>150</v>
      </c>
      <c r="I107" s="452">
        <v>50</v>
      </c>
      <c r="J107" s="453">
        <f t="shared" si="11"/>
        <v>33.333333333333329</v>
      </c>
    </row>
    <row r="108" spans="1:10" ht="18" customHeight="1" x14ac:dyDescent="0.2">
      <c r="A108" s="457" t="s">
        <v>1669</v>
      </c>
      <c r="B108" s="401" t="s">
        <v>1620</v>
      </c>
      <c r="C108" s="292" t="s">
        <v>32</v>
      </c>
      <c r="D108" s="292" t="s">
        <v>112</v>
      </c>
      <c r="E108" s="448">
        <v>1</v>
      </c>
      <c r="F108" s="448">
        <v>6</v>
      </c>
      <c r="G108" s="448">
        <v>600</v>
      </c>
      <c r="H108" s="418">
        <v>50</v>
      </c>
      <c r="I108" s="452">
        <v>30</v>
      </c>
      <c r="J108" s="453">
        <f t="shared" si="11"/>
        <v>60</v>
      </c>
    </row>
    <row r="109" spans="1:10" ht="18" customHeight="1" x14ac:dyDescent="0.2">
      <c r="A109" s="457" t="s">
        <v>1670</v>
      </c>
      <c r="B109" s="401" t="s">
        <v>1621</v>
      </c>
      <c r="C109" s="292" t="s">
        <v>32</v>
      </c>
      <c r="D109" s="292" t="s">
        <v>1622</v>
      </c>
      <c r="E109" s="448">
        <v>4</v>
      </c>
      <c r="F109" s="448">
        <v>1</v>
      </c>
      <c r="G109" s="453">
        <v>25</v>
      </c>
      <c r="H109" s="418">
        <v>150</v>
      </c>
      <c r="I109" s="452">
        <v>40</v>
      </c>
      <c r="J109" s="453">
        <f t="shared" si="11"/>
        <v>26.666666666666668</v>
      </c>
    </row>
    <row r="110" spans="1:10" ht="25.5" customHeight="1" x14ac:dyDescent="0.2">
      <c r="A110" s="457" t="s">
        <v>1671</v>
      </c>
      <c r="B110" s="460" t="s">
        <v>1623</v>
      </c>
      <c r="C110" s="292" t="s">
        <v>32</v>
      </c>
      <c r="D110" s="292" t="s">
        <v>1614</v>
      </c>
      <c r="E110" s="448">
        <v>1</v>
      </c>
      <c r="F110" s="448" t="s">
        <v>1577</v>
      </c>
      <c r="G110" s="448" t="s">
        <v>1577</v>
      </c>
      <c r="H110" s="418">
        <v>50</v>
      </c>
      <c r="I110" s="453" t="s">
        <v>1577</v>
      </c>
      <c r="J110" s="453">
        <v>0</v>
      </c>
    </row>
    <row r="111" spans="1:10" ht="24.75" customHeight="1" x14ac:dyDescent="0.2">
      <c r="A111" s="457" t="s">
        <v>1672</v>
      </c>
      <c r="B111" s="460" t="s">
        <v>1624</v>
      </c>
      <c r="C111" s="292" t="s">
        <v>32</v>
      </c>
      <c r="D111" s="292" t="s">
        <v>160</v>
      </c>
      <c r="E111" s="448">
        <v>1</v>
      </c>
      <c r="F111" s="448" t="s">
        <v>1577</v>
      </c>
      <c r="G111" s="448" t="s">
        <v>1577</v>
      </c>
      <c r="H111" s="418">
        <v>50</v>
      </c>
      <c r="I111" s="453" t="s">
        <v>1577</v>
      </c>
      <c r="J111" s="453">
        <v>0</v>
      </c>
    </row>
    <row r="112" spans="1:10" ht="25.5" customHeight="1" x14ac:dyDescent="0.2">
      <c r="A112" s="457" t="s">
        <v>1673</v>
      </c>
      <c r="B112" s="460" t="s">
        <v>1625</v>
      </c>
      <c r="C112" s="292" t="s">
        <v>32</v>
      </c>
      <c r="D112" s="292" t="s">
        <v>160</v>
      </c>
      <c r="E112" s="448">
        <v>1</v>
      </c>
      <c r="F112" s="448" t="s">
        <v>1577</v>
      </c>
      <c r="G112" s="448" t="s">
        <v>1577</v>
      </c>
      <c r="H112" s="418">
        <v>50</v>
      </c>
      <c r="I112" s="453" t="s">
        <v>1577</v>
      </c>
      <c r="J112" s="453">
        <v>0</v>
      </c>
    </row>
    <row r="113" spans="1:10" ht="27" customHeight="1" x14ac:dyDescent="0.2">
      <c r="A113" s="457" t="s">
        <v>1674</v>
      </c>
      <c r="B113" s="460" t="s">
        <v>2491</v>
      </c>
      <c r="C113" s="292" t="s">
        <v>32</v>
      </c>
      <c r="D113" s="292" t="s">
        <v>75</v>
      </c>
      <c r="E113" s="448">
        <v>360</v>
      </c>
      <c r="F113" s="448">
        <v>384</v>
      </c>
      <c r="G113" s="453">
        <v>106.66</v>
      </c>
      <c r="H113" s="418">
        <v>100</v>
      </c>
      <c r="I113" s="452">
        <v>80</v>
      </c>
      <c r="J113" s="453">
        <f t="shared" si="11"/>
        <v>80</v>
      </c>
    </row>
    <row r="114" spans="1:10" ht="28.5" customHeight="1" x14ac:dyDescent="0.2">
      <c r="A114" s="457" t="s">
        <v>1675</v>
      </c>
      <c r="B114" s="460" t="s">
        <v>1626</v>
      </c>
      <c r="C114" s="292" t="s">
        <v>32</v>
      </c>
      <c r="D114" s="292" t="s">
        <v>75</v>
      </c>
      <c r="E114" s="448" t="s">
        <v>208</v>
      </c>
      <c r="F114" s="448" t="s">
        <v>1577</v>
      </c>
      <c r="G114" s="448" t="s">
        <v>1577</v>
      </c>
      <c r="H114" s="448">
        <v>100</v>
      </c>
      <c r="I114" s="453" t="s">
        <v>1577</v>
      </c>
      <c r="J114" s="453" t="s">
        <v>1577</v>
      </c>
    </row>
    <row r="115" spans="1:10" ht="28.5" customHeight="1" x14ac:dyDescent="0.2">
      <c r="A115" s="464" t="s">
        <v>451</v>
      </c>
      <c r="B115" s="461" t="s">
        <v>1628</v>
      </c>
      <c r="C115" s="455"/>
      <c r="D115" s="465"/>
      <c r="E115" s="459"/>
      <c r="F115" s="459"/>
      <c r="G115" s="459"/>
      <c r="H115" s="424">
        <f>SUM(H116:H118)</f>
        <v>6300</v>
      </c>
      <c r="I115" s="451">
        <v>1620</v>
      </c>
      <c r="J115" s="451">
        <f>+I115/H115*100</f>
        <v>25.714285714285712</v>
      </c>
    </row>
    <row r="116" spans="1:10" ht="25.5" customHeight="1" x14ac:dyDescent="0.2">
      <c r="A116" s="457" t="s">
        <v>1612</v>
      </c>
      <c r="B116" s="460" t="s">
        <v>1630</v>
      </c>
      <c r="C116" s="292" t="s">
        <v>32</v>
      </c>
      <c r="D116" s="292" t="s">
        <v>162</v>
      </c>
      <c r="E116" s="448">
        <v>4</v>
      </c>
      <c r="F116" s="448">
        <v>10</v>
      </c>
      <c r="G116" s="448">
        <v>250</v>
      </c>
      <c r="H116" s="418">
        <v>3000</v>
      </c>
      <c r="I116" s="452">
        <v>800</v>
      </c>
      <c r="J116" s="453">
        <f t="shared" ref="J116:J126" si="12">+I116/H116*100</f>
        <v>26.666666666666668</v>
      </c>
    </row>
    <row r="117" spans="1:10" ht="18" customHeight="1" x14ac:dyDescent="0.2">
      <c r="A117" s="457" t="s">
        <v>1615</v>
      </c>
      <c r="B117" s="401" t="s">
        <v>1631</v>
      </c>
      <c r="C117" s="292" t="s">
        <v>32</v>
      </c>
      <c r="D117" s="292" t="s">
        <v>77</v>
      </c>
      <c r="E117" s="448">
        <v>10</v>
      </c>
      <c r="F117" s="448">
        <v>23</v>
      </c>
      <c r="G117" s="448">
        <v>230</v>
      </c>
      <c r="H117" s="418">
        <v>300</v>
      </c>
      <c r="I117" s="452">
        <v>100</v>
      </c>
      <c r="J117" s="453">
        <f t="shared" si="12"/>
        <v>33.333333333333329</v>
      </c>
    </row>
    <row r="118" spans="1:10" ht="18" customHeight="1" x14ac:dyDescent="0.2">
      <c r="A118" s="457" t="s">
        <v>1617</v>
      </c>
      <c r="B118" s="401" t="s">
        <v>1632</v>
      </c>
      <c r="C118" s="292" t="s">
        <v>32</v>
      </c>
      <c r="D118" s="292" t="s">
        <v>450</v>
      </c>
      <c r="E118" s="448">
        <v>1</v>
      </c>
      <c r="F118" s="448">
        <v>3</v>
      </c>
      <c r="G118" s="448">
        <v>300</v>
      </c>
      <c r="H118" s="418">
        <v>3000</v>
      </c>
      <c r="I118" s="452">
        <v>720</v>
      </c>
      <c r="J118" s="453">
        <f t="shared" si="12"/>
        <v>24</v>
      </c>
    </row>
    <row r="119" spans="1:10" ht="21" customHeight="1" x14ac:dyDescent="0.2">
      <c r="A119" s="454" t="s">
        <v>1627</v>
      </c>
      <c r="B119" s="410" t="s">
        <v>1633</v>
      </c>
      <c r="C119" s="455"/>
      <c r="D119" s="455"/>
      <c r="E119" s="459"/>
      <c r="F119" s="459"/>
      <c r="G119" s="459"/>
      <c r="H119" s="424">
        <f>SUM(H120:H122)</f>
        <v>3748</v>
      </c>
      <c r="I119" s="451">
        <v>456.78</v>
      </c>
      <c r="J119" s="451">
        <f>+I119/H119*100</f>
        <v>12.187299893276414</v>
      </c>
    </row>
    <row r="120" spans="1:10" ht="25.5" customHeight="1" x14ac:dyDescent="0.2">
      <c r="A120" s="457" t="s">
        <v>1629</v>
      </c>
      <c r="B120" s="401" t="s">
        <v>1634</v>
      </c>
      <c r="C120" s="292" t="s">
        <v>32</v>
      </c>
      <c r="D120" s="292" t="s">
        <v>75</v>
      </c>
      <c r="E120" s="448">
        <v>1</v>
      </c>
      <c r="F120" s="448" t="s">
        <v>1577</v>
      </c>
      <c r="G120" s="448" t="s">
        <v>1577</v>
      </c>
      <c r="H120" s="448">
        <v>2000</v>
      </c>
      <c r="I120" s="453" t="s">
        <v>1577</v>
      </c>
      <c r="J120" s="453">
        <v>0</v>
      </c>
    </row>
    <row r="121" spans="1:10" ht="27.75" customHeight="1" x14ac:dyDescent="0.2">
      <c r="A121" s="466">
        <v>10.199999999999999</v>
      </c>
      <c r="B121" s="460" t="s">
        <v>1641</v>
      </c>
      <c r="C121" s="292" t="s">
        <v>32</v>
      </c>
      <c r="D121" s="292" t="s">
        <v>249</v>
      </c>
      <c r="E121" s="448">
        <v>2</v>
      </c>
      <c r="F121" s="448">
        <v>1</v>
      </c>
      <c r="G121" s="448">
        <v>50</v>
      </c>
      <c r="H121" s="418">
        <v>1500</v>
      </c>
      <c r="I121" s="452">
        <v>356.78</v>
      </c>
      <c r="J121" s="453">
        <f t="shared" si="12"/>
        <v>23.78533333333333</v>
      </c>
    </row>
    <row r="122" spans="1:10" ht="26.25" customHeight="1" x14ac:dyDescent="0.2">
      <c r="A122" s="466">
        <v>10.3</v>
      </c>
      <c r="B122" s="460" t="s">
        <v>2492</v>
      </c>
      <c r="C122" s="292" t="s">
        <v>32</v>
      </c>
      <c r="D122" s="292" t="s">
        <v>449</v>
      </c>
      <c r="E122" s="456">
        <v>1</v>
      </c>
      <c r="F122" s="456">
        <v>5</v>
      </c>
      <c r="G122" s="425">
        <v>500</v>
      </c>
      <c r="H122" s="448">
        <v>248</v>
      </c>
      <c r="I122" s="453">
        <v>100</v>
      </c>
      <c r="J122" s="453">
        <f t="shared" si="12"/>
        <v>40.322580645161288</v>
      </c>
    </row>
    <row r="123" spans="1:10" ht="21.75" customHeight="1" x14ac:dyDescent="0.2">
      <c r="A123" s="344">
        <v>11</v>
      </c>
      <c r="B123" s="467" t="s">
        <v>1635</v>
      </c>
      <c r="C123" s="455"/>
      <c r="D123" s="458"/>
      <c r="E123" s="468"/>
      <c r="F123" s="468"/>
      <c r="G123" s="468"/>
      <c r="H123" s="469">
        <f>+H124</f>
        <v>5300</v>
      </c>
      <c r="I123" s="470">
        <v>1000</v>
      </c>
      <c r="J123" s="451">
        <f>+I123/H123*100</f>
        <v>18.867924528301888</v>
      </c>
    </row>
    <row r="124" spans="1:10" ht="39.75" customHeight="1" x14ac:dyDescent="0.2">
      <c r="A124" s="466">
        <v>11.1</v>
      </c>
      <c r="B124" s="460" t="s">
        <v>1636</v>
      </c>
      <c r="C124" s="292" t="s">
        <v>32</v>
      </c>
      <c r="D124" s="292" t="s">
        <v>1637</v>
      </c>
      <c r="E124" s="290">
        <v>5</v>
      </c>
      <c r="F124" s="290">
        <v>3</v>
      </c>
      <c r="G124" s="290">
        <v>60</v>
      </c>
      <c r="H124" s="296">
        <v>5300</v>
      </c>
      <c r="I124" s="291">
        <v>1000</v>
      </c>
      <c r="J124" s="453">
        <f t="shared" si="12"/>
        <v>18.867924528301888</v>
      </c>
    </row>
    <row r="125" spans="1:10" ht="21" customHeight="1" x14ac:dyDescent="0.2">
      <c r="A125" s="454" t="s">
        <v>745</v>
      </c>
      <c r="B125" s="410" t="s">
        <v>1638</v>
      </c>
      <c r="C125" s="385"/>
      <c r="D125" s="471"/>
      <c r="E125" s="472"/>
      <c r="F125" s="472"/>
      <c r="G125" s="472"/>
      <c r="H125" s="473">
        <f>+H126</f>
        <v>600</v>
      </c>
      <c r="I125" s="462">
        <v>200</v>
      </c>
      <c r="J125" s="451">
        <f>+I125/H125*100</f>
        <v>33.333333333333329</v>
      </c>
    </row>
    <row r="126" spans="1:10" ht="28.5" customHeight="1" x14ac:dyDescent="0.2">
      <c r="A126" s="457" t="s">
        <v>1639</v>
      </c>
      <c r="B126" s="460" t="s">
        <v>1640</v>
      </c>
      <c r="C126" s="292" t="s">
        <v>32</v>
      </c>
      <c r="D126" s="298" t="s">
        <v>41</v>
      </c>
      <c r="E126" s="290">
        <v>4</v>
      </c>
      <c r="F126" s="290">
        <v>11</v>
      </c>
      <c r="G126" s="290">
        <v>275</v>
      </c>
      <c r="H126" s="296">
        <v>600</v>
      </c>
      <c r="I126" s="291">
        <v>200</v>
      </c>
      <c r="J126" s="453">
        <f t="shared" si="12"/>
        <v>33.333333333333329</v>
      </c>
    </row>
    <row r="127" spans="1:10" ht="20.25" customHeight="1" x14ac:dyDescent="0.2">
      <c r="A127" s="454" t="s">
        <v>452</v>
      </c>
      <c r="B127" s="410" t="s">
        <v>439</v>
      </c>
      <c r="C127" s="455"/>
      <c r="D127" s="455"/>
      <c r="E127" s="459"/>
      <c r="F127" s="459"/>
      <c r="G127" s="459"/>
      <c r="H127" s="424">
        <v>1200</v>
      </c>
      <c r="I127" s="451">
        <v>200</v>
      </c>
      <c r="J127" s="451">
        <f>+I127/H127*100</f>
        <v>16.666666666666664</v>
      </c>
    </row>
    <row r="128" spans="1:10" ht="26.25" customHeight="1" x14ac:dyDescent="0.2">
      <c r="A128" s="457" t="s">
        <v>1639</v>
      </c>
      <c r="B128" s="460" t="s">
        <v>1652</v>
      </c>
      <c r="C128" s="292" t="s">
        <v>32</v>
      </c>
      <c r="D128" s="292" t="s">
        <v>41</v>
      </c>
      <c r="E128" s="418">
        <v>10</v>
      </c>
      <c r="F128" s="418">
        <v>13</v>
      </c>
      <c r="G128" s="418">
        <v>130</v>
      </c>
      <c r="H128" s="418">
        <v>1200</v>
      </c>
      <c r="I128" s="452">
        <v>200</v>
      </c>
      <c r="J128" s="453">
        <f t="shared" ref="J128" si="13">+I128/H128*100</f>
        <v>16.666666666666664</v>
      </c>
    </row>
    <row r="129" spans="1:10" ht="23.25" customHeight="1" x14ac:dyDescent="0.2">
      <c r="A129" s="454" t="s">
        <v>563</v>
      </c>
      <c r="B129" s="410" t="s">
        <v>1653</v>
      </c>
      <c r="C129" s="455"/>
      <c r="D129" s="458"/>
      <c r="E129" s="468"/>
      <c r="F129" s="468"/>
      <c r="G129" s="468"/>
      <c r="H129" s="473">
        <f>+H130+H131+H132+H133+H135</f>
        <v>36131</v>
      </c>
      <c r="I129" s="462">
        <f>+I130+I131+I132+I133+I135</f>
        <v>19006.77</v>
      </c>
      <c r="J129" s="451">
        <f>+I129/H129*100</f>
        <v>52.605159004732784</v>
      </c>
    </row>
    <row r="130" spans="1:10" ht="27" customHeight="1" x14ac:dyDescent="0.2">
      <c r="A130" s="457" t="s">
        <v>1651</v>
      </c>
      <c r="B130" s="401" t="s">
        <v>1654</v>
      </c>
      <c r="C130" s="292" t="s">
        <v>32</v>
      </c>
      <c r="D130" s="292" t="s">
        <v>106</v>
      </c>
      <c r="E130" s="290">
        <v>15</v>
      </c>
      <c r="F130" s="290">
        <v>14</v>
      </c>
      <c r="G130" s="290">
        <v>93.33</v>
      </c>
      <c r="H130" s="296">
        <v>10800</v>
      </c>
      <c r="I130" s="291">
        <v>8000</v>
      </c>
      <c r="J130" s="453">
        <f t="shared" ref="J130:J136" si="14">+I130/H130*100</f>
        <v>74.074074074074076</v>
      </c>
    </row>
    <row r="131" spans="1:10" ht="29.25" customHeight="1" x14ac:dyDescent="0.2">
      <c r="A131" s="457" t="s">
        <v>1676</v>
      </c>
      <c r="B131" s="460" t="s">
        <v>1655</v>
      </c>
      <c r="C131" s="292" t="s">
        <v>32</v>
      </c>
      <c r="D131" s="292" t="s">
        <v>1656</v>
      </c>
      <c r="E131" s="290">
        <v>120</v>
      </c>
      <c r="F131" s="290">
        <v>71</v>
      </c>
      <c r="G131" s="290">
        <v>59.16</v>
      </c>
      <c r="H131" s="296">
        <v>5400</v>
      </c>
      <c r="I131" s="291">
        <v>3000</v>
      </c>
      <c r="J131" s="453">
        <f t="shared" si="14"/>
        <v>55.555555555555557</v>
      </c>
    </row>
    <row r="132" spans="1:10" ht="27.75" customHeight="1" x14ac:dyDescent="0.2">
      <c r="A132" s="457" t="s">
        <v>1677</v>
      </c>
      <c r="B132" s="460" t="s">
        <v>1657</v>
      </c>
      <c r="C132" s="292" t="s">
        <v>32</v>
      </c>
      <c r="D132" s="292" t="s">
        <v>106</v>
      </c>
      <c r="E132" s="290">
        <v>8</v>
      </c>
      <c r="F132" s="290">
        <v>3</v>
      </c>
      <c r="G132" s="290">
        <v>37.5</v>
      </c>
      <c r="H132" s="296">
        <v>4800</v>
      </c>
      <c r="I132" s="291">
        <v>1800</v>
      </c>
      <c r="J132" s="453">
        <f t="shared" si="14"/>
        <v>37.5</v>
      </c>
    </row>
    <row r="133" spans="1:10" ht="24.75" customHeight="1" x14ac:dyDescent="0.2">
      <c r="A133" s="498">
        <v>15</v>
      </c>
      <c r="B133" s="488" t="s">
        <v>1658</v>
      </c>
      <c r="C133" s="486"/>
      <c r="D133" s="486"/>
      <c r="E133" s="487"/>
      <c r="F133" s="487"/>
      <c r="G133" s="487"/>
      <c r="H133" s="469">
        <f>+H134</f>
        <v>8000</v>
      </c>
      <c r="I133" s="470">
        <v>4000</v>
      </c>
      <c r="J133" s="451">
        <f>+I133/H133*100</f>
        <v>50</v>
      </c>
    </row>
    <row r="134" spans="1:10" ht="24" customHeight="1" x14ac:dyDescent="0.2">
      <c r="A134" s="466">
        <v>15.1</v>
      </c>
      <c r="B134" s="484" t="s">
        <v>1659</v>
      </c>
      <c r="C134" s="292" t="s">
        <v>32</v>
      </c>
      <c r="D134" s="292" t="s">
        <v>1660</v>
      </c>
      <c r="E134" s="290">
        <v>40</v>
      </c>
      <c r="F134" s="290">
        <v>32</v>
      </c>
      <c r="G134" s="290">
        <v>80</v>
      </c>
      <c r="H134" s="296">
        <v>8000</v>
      </c>
      <c r="I134" s="291">
        <v>4000</v>
      </c>
      <c r="J134" s="453">
        <f t="shared" si="14"/>
        <v>50</v>
      </c>
    </row>
    <row r="135" spans="1:10" ht="30.75" customHeight="1" x14ac:dyDescent="0.2">
      <c r="A135" s="498">
        <v>16</v>
      </c>
      <c r="B135" s="489" t="s">
        <v>2493</v>
      </c>
      <c r="C135" s="485"/>
      <c r="D135" s="485"/>
      <c r="E135" s="487"/>
      <c r="F135" s="487"/>
      <c r="G135" s="487"/>
      <c r="H135" s="469">
        <f>SUM(H136:H137)</f>
        <v>7131</v>
      </c>
      <c r="I135" s="490">
        <v>2206.77</v>
      </c>
      <c r="J135" s="451">
        <f>+I135/H135*100</f>
        <v>30.946150610012619</v>
      </c>
    </row>
    <row r="136" spans="1:10" ht="33" customHeight="1" x14ac:dyDescent="0.2">
      <c r="A136" s="491">
        <v>16.100000000000001</v>
      </c>
      <c r="B136" s="492" t="s">
        <v>1663</v>
      </c>
      <c r="C136" s="493" t="s">
        <v>32</v>
      </c>
      <c r="D136" s="494" t="s">
        <v>1661</v>
      </c>
      <c r="E136" s="495">
        <v>5</v>
      </c>
      <c r="F136" s="495">
        <v>3</v>
      </c>
      <c r="G136" s="495">
        <v>60</v>
      </c>
      <c r="H136" s="359">
        <v>5131</v>
      </c>
      <c r="I136" s="496">
        <v>2206.77</v>
      </c>
      <c r="J136" s="453">
        <f t="shared" si="14"/>
        <v>43.008575326447087</v>
      </c>
    </row>
    <row r="137" spans="1:10" ht="33.75" customHeight="1" x14ac:dyDescent="0.2">
      <c r="A137" s="1999">
        <v>16.2</v>
      </c>
      <c r="B137" s="2000" t="s">
        <v>1662</v>
      </c>
      <c r="C137" s="2001" t="s">
        <v>32</v>
      </c>
      <c r="D137" s="2002" t="s">
        <v>112</v>
      </c>
      <c r="E137" s="2003">
        <v>1</v>
      </c>
      <c r="F137" s="2004" t="s">
        <v>1577</v>
      </c>
      <c r="G137" s="2004" t="s">
        <v>1577</v>
      </c>
      <c r="H137" s="2005">
        <v>2000</v>
      </c>
      <c r="I137" s="2006" t="s">
        <v>1577</v>
      </c>
      <c r="J137" s="2006" t="s">
        <v>1577</v>
      </c>
    </row>
    <row r="138" spans="1:10" ht="29.25" customHeight="1" x14ac:dyDescent="0.2">
      <c r="A138" s="2007">
        <v>17</v>
      </c>
      <c r="B138" s="2008" t="s">
        <v>564</v>
      </c>
      <c r="C138" s="2009" t="s">
        <v>32</v>
      </c>
      <c r="D138" s="2009" t="s">
        <v>485</v>
      </c>
      <c r="E138" s="2010"/>
      <c r="F138" s="2010"/>
      <c r="G138" s="2010"/>
      <c r="H138" s="2011">
        <v>570403</v>
      </c>
      <c r="I138" s="2012">
        <v>238681.68</v>
      </c>
      <c r="J138" s="2012">
        <v>48.77</v>
      </c>
    </row>
    <row r="139" spans="1:10" ht="21.75" customHeight="1" x14ac:dyDescent="0.2">
      <c r="A139" s="2013"/>
      <c r="B139" s="2014"/>
      <c r="C139" s="2015"/>
      <c r="D139" s="2015"/>
      <c r="E139" s="2016"/>
      <c r="F139" s="2016"/>
      <c r="G139" s="2016"/>
      <c r="H139" s="2017"/>
      <c r="I139" s="2018"/>
      <c r="J139" s="2019"/>
    </row>
    <row r="140" spans="1:10" ht="23.25" customHeight="1" x14ac:dyDescent="0.2">
      <c r="A140" s="2287"/>
      <c r="B140" s="2288"/>
      <c r="C140" s="2289"/>
      <c r="D140" s="2289"/>
      <c r="E140" s="2290"/>
      <c r="F140" s="2290"/>
      <c r="G140" s="2290"/>
      <c r="H140" s="2291"/>
      <c r="I140" s="2292"/>
      <c r="J140" s="2293"/>
    </row>
    <row r="141" spans="1:10" ht="31.5" customHeight="1" x14ac:dyDescent="0.2">
      <c r="A141" s="2287"/>
      <c r="B141" s="2288"/>
      <c r="C141" s="2289"/>
      <c r="D141" s="2289"/>
      <c r="E141" s="2290"/>
      <c r="F141" s="2290"/>
      <c r="G141" s="2290"/>
      <c r="H141" s="2291"/>
      <c r="I141" s="2292"/>
      <c r="J141" s="2293"/>
    </row>
    <row r="142" spans="1:10" ht="24" customHeight="1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</row>
    <row r="143" spans="1:10" ht="24" customHeight="1" x14ac:dyDescent="0.2">
      <c r="A143" s="2"/>
      <c r="C143" s="2"/>
      <c r="D143" s="2"/>
      <c r="E143" s="2"/>
    </row>
    <row r="144" spans="1:10" ht="24" customHeight="1" x14ac:dyDescent="0.2">
      <c r="A144" s="2372" t="s">
        <v>569</v>
      </c>
      <c r="B144" s="2373"/>
      <c r="C144" s="2030"/>
      <c r="D144" s="2031"/>
      <c r="E144" s="2032"/>
      <c r="F144" s="2032"/>
      <c r="G144" s="2032"/>
      <c r="H144" s="2033">
        <f>SUM(H145:H160)</f>
        <v>658815</v>
      </c>
      <c r="I144" s="2034">
        <f>SUM(I145:I160)</f>
        <v>338666.49</v>
      </c>
      <c r="J144" s="2035">
        <f>+I144/H144*100</f>
        <v>51.405400605632835</v>
      </c>
    </row>
    <row r="145" spans="1:10" ht="116.25" customHeight="1" x14ac:dyDescent="0.2">
      <c r="A145" s="2385">
        <v>1</v>
      </c>
      <c r="B145" s="2384" t="s">
        <v>1153</v>
      </c>
      <c r="C145" s="2381" t="s">
        <v>69</v>
      </c>
      <c r="D145" s="2111" t="s">
        <v>2498</v>
      </c>
      <c r="E145" s="2112">
        <v>1</v>
      </c>
      <c r="F145" s="2113">
        <v>1</v>
      </c>
      <c r="G145" s="2114">
        <f t="shared" ref="G145:G160" si="15">+F145/E145*100</f>
        <v>100</v>
      </c>
      <c r="H145" s="2378">
        <v>286416</v>
      </c>
      <c r="I145" s="2377">
        <v>140084.79</v>
      </c>
      <c r="J145" s="2374">
        <f>+I145/H145*100</f>
        <v>48.90955463381934</v>
      </c>
    </row>
    <row r="146" spans="1:10" ht="39" customHeight="1" x14ac:dyDescent="0.2">
      <c r="A146" s="2302"/>
      <c r="B146" s="2308"/>
      <c r="C146" s="2382"/>
      <c r="D146" s="2111" t="s">
        <v>1154</v>
      </c>
      <c r="E146" s="2112">
        <v>2</v>
      </c>
      <c r="F146" s="2113">
        <v>2</v>
      </c>
      <c r="G146" s="2114">
        <f t="shared" si="15"/>
        <v>100</v>
      </c>
      <c r="H146" s="2379"/>
      <c r="I146" s="2317"/>
      <c r="J146" s="2375"/>
    </row>
    <row r="147" spans="1:10" ht="25.5" x14ac:dyDescent="0.2">
      <c r="A147" s="2302"/>
      <c r="B147" s="2308"/>
      <c r="C147" s="2382"/>
      <c r="D147" s="2111" t="s">
        <v>1155</v>
      </c>
      <c r="E147" s="2112">
        <v>1</v>
      </c>
      <c r="F147" s="2113">
        <v>1</v>
      </c>
      <c r="G147" s="2114">
        <f t="shared" si="15"/>
        <v>100</v>
      </c>
      <c r="H147" s="2379"/>
      <c r="I147" s="2317"/>
      <c r="J147" s="2375"/>
    </row>
    <row r="148" spans="1:10" ht="25.5" x14ac:dyDescent="0.2">
      <c r="A148" s="2302"/>
      <c r="B148" s="2308"/>
      <c r="C148" s="2382"/>
      <c r="D148" s="2111" t="s">
        <v>1156</v>
      </c>
      <c r="E148" s="2112">
        <v>1</v>
      </c>
      <c r="F148" s="2113">
        <v>1</v>
      </c>
      <c r="G148" s="2114">
        <f t="shared" si="15"/>
        <v>100</v>
      </c>
      <c r="H148" s="2379"/>
      <c r="I148" s="2317"/>
      <c r="J148" s="2375"/>
    </row>
    <row r="149" spans="1:10" ht="89.25" x14ac:dyDescent="0.2">
      <c r="A149" s="2302"/>
      <c r="B149" s="2308"/>
      <c r="C149" s="2382"/>
      <c r="D149" s="2111" t="s">
        <v>1157</v>
      </c>
      <c r="E149" s="2112">
        <v>1</v>
      </c>
      <c r="F149" s="2113">
        <v>1</v>
      </c>
      <c r="G149" s="2114">
        <f t="shared" si="15"/>
        <v>100</v>
      </c>
      <c r="H149" s="2379"/>
      <c r="I149" s="2317"/>
      <c r="J149" s="2375"/>
    </row>
    <row r="150" spans="1:10" ht="38.25" x14ac:dyDescent="0.2">
      <c r="A150" s="2302"/>
      <c r="B150" s="2308"/>
      <c r="C150" s="2382"/>
      <c r="D150" s="2111" t="s">
        <v>1158</v>
      </c>
      <c r="E150" s="2112">
        <v>1</v>
      </c>
      <c r="F150" s="2113">
        <v>1</v>
      </c>
      <c r="G150" s="2114">
        <f t="shared" si="15"/>
        <v>100</v>
      </c>
      <c r="H150" s="2379"/>
      <c r="I150" s="2317"/>
      <c r="J150" s="2375"/>
    </row>
    <row r="151" spans="1:10" ht="63" customHeight="1" x14ac:dyDescent="0.2">
      <c r="A151" s="2302"/>
      <c r="B151" s="2308"/>
      <c r="C151" s="2382"/>
      <c r="D151" s="2111" t="s">
        <v>1159</v>
      </c>
      <c r="E151" s="2112">
        <v>1</v>
      </c>
      <c r="F151" s="2113">
        <v>1</v>
      </c>
      <c r="G151" s="2114">
        <f t="shared" si="15"/>
        <v>100</v>
      </c>
      <c r="H151" s="2379"/>
      <c r="I151" s="2317"/>
      <c r="J151" s="2375"/>
    </row>
    <row r="152" spans="1:10" ht="51" x14ac:dyDescent="0.2">
      <c r="A152" s="2302"/>
      <c r="B152" s="2308"/>
      <c r="C152" s="2382"/>
      <c r="D152" s="2111" t="s">
        <v>1160</v>
      </c>
      <c r="E152" s="2112">
        <v>1</v>
      </c>
      <c r="F152" s="2113">
        <v>1</v>
      </c>
      <c r="G152" s="2114">
        <f t="shared" si="15"/>
        <v>100</v>
      </c>
      <c r="H152" s="2379"/>
      <c r="I152" s="2317"/>
      <c r="J152" s="2375"/>
    </row>
    <row r="153" spans="1:10" ht="38.25" x14ac:dyDescent="0.2">
      <c r="A153" s="2302"/>
      <c r="B153" s="2308"/>
      <c r="C153" s="2382"/>
      <c r="D153" s="2111" t="s">
        <v>1161</v>
      </c>
      <c r="E153" s="2112">
        <v>1</v>
      </c>
      <c r="F153" s="2113">
        <v>1</v>
      </c>
      <c r="G153" s="2114">
        <f t="shared" si="15"/>
        <v>100</v>
      </c>
      <c r="H153" s="2379"/>
      <c r="I153" s="2317"/>
      <c r="J153" s="2375"/>
    </row>
    <row r="154" spans="1:10" ht="61.5" customHeight="1" x14ac:dyDescent="0.2">
      <c r="A154" s="2302"/>
      <c r="B154" s="2308"/>
      <c r="C154" s="2382"/>
      <c r="D154" s="2115" t="s">
        <v>2730</v>
      </c>
      <c r="E154" s="2112">
        <v>1</v>
      </c>
      <c r="F154" s="2113">
        <v>1</v>
      </c>
      <c r="G154" s="2114">
        <f t="shared" si="15"/>
        <v>100</v>
      </c>
      <c r="H154" s="2379"/>
      <c r="I154" s="2317"/>
      <c r="J154" s="2375"/>
    </row>
    <row r="155" spans="1:10" ht="39.75" customHeight="1" x14ac:dyDescent="0.2">
      <c r="A155" s="2303"/>
      <c r="B155" s="2311"/>
      <c r="C155" s="2383"/>
      <c r="D155" s="2111" t="s">
        <v>2731</v>
      </c>
      <c r="E155" s="2112">
        <v>2</v>
      </c>
      <c r="F155" s="2116">
        <v>2</v>
      </c>
      <c r="G155" s="2114">
        <f t="shared" si="15"/>
        <v>100</v>
      </c>
      <c r="H155" s="2380"/>
      <c r="I155" s="2318"/>
      <c r="J155" s="2376"/>
    </row>
    <row r="156" spans="1:10" ht="51" x14ac:dyDescent="0.2">
      <c r="A156" s="2400">
        <v>2</v>
      </c>
      <c r="B156" s="2402" t="s">
        <v>1162</v>
      </c>
      <c r="C156" s="2404" t="s">
        <v>527</v>
      </c>
      <c r="D156" s="2025" t="s">
        <v>1163</v>
      </c>
      <c r="E156" s="290">
        <v>4</v>
      </c>
      <c r="F156" s="296">
        <v>4</v>
      </c>
      <c r="G156" s="291">
        <f t="shared" si="15"/>
        <v>100</v>
      </c>
      <c r="H156" s="2394">
        <v>372399</v>
      </c>
      <c r="I156" s="2396">
        <v>198581.7</v>
      </c>
      <c r="J156" s="2390">
        <f t="shared" ref="J156" si="16">+I156/H156*100</f>
        <v>53.3249820756769</v>
      </c>
    </row>
    <row r="157" spans="1:10" ht="51" x14ac:dyDescent="0.2">
      <c r="A157" s="2302"/>
      <c r="B157" s="2308"/>
      <c r="C157" s="2382"/>
      <c r="D157" s="2025" t="s">
        <v>1164</v>
      </c>
      <c r="E157" s="290">
        <v>2</v>
      </c>
      <c r="F157" s="296">
        <v>2</v>
      </c>
      <c r="G157" s="291">
        <f t="shared" si="15"/>
        <v>100</v>
      </c>
      <c r="H157" s="2379"/>
      <c r="I157" s="2317"/>
      <c r="J157" s="2375"/>
    </row>
    <row r="158" spans="1:10" ht="51" x14ac:dyDescent="0.2">
      <c r="A158" s="2302"/>
      <c r="B158" s="2308"/>
      <c r="C158" s="2382"/>
      <c r="D158" s="2025" t="s">
        <v>1165</v>
      </c>
      <c r="E158" s="290">
        <v>4</v>
      </c>
      <c r="F158" s="296">
        <v>4</v>
      </c>
      <c r="G158" s="291">
        <f t="shared" si="15"/>
        <v>100</v>
      </c>
      <c r="H158" s="2379"/>
      <c r="I158" s="2317"/>
      <c r="J158" s="2375"/>
    </row>
    <row r="159" spans="1:10" ht="51" x14ac:dyDescent="0.2">
      <c r="A159" s="2302"/>
      <c r="B159" s="2308"/>
      <c r="C159" s="2382"/>
      <c r="D159" s="2025" t="s">
        <v>1166</v>
      </c>
      <c r="E159" s="290">
        <v>1</v>
      </c>
      <c r="F159" s="296">
        <v>1</v>
      </c>
      <c r="G159" s="291">
        <f t="shared" si="15"/>
        <v>100</v>
      </c>
      <c r="H159" s="2379"/>
      <c r="I159" s="2317"/>
      <c r="J159" s="2375"/>
    </row>
    <row r="160" spans="1:10" ht="38.25" customHeight="1" x14ac:dyDescent="0.2">
      <c r="A160" s="2401"/>
      <c r="B160" s="2403"/>
      <c r="C160" s="2405"/>
      <c r="D160" s="2025" t="s">
        <v>1167</v>
      </c>
      <c r="E160" s="290">
        <v>1</v>
      </c>
      <c r="F160" s="296">
        <v>1</v>
      </c>
      <c r="G160" s="291">
        <f t="shared" si="15"/>
        <v>100</v>
      </c>
      <c r="H160" s="2395"/>
      <c r="I160" s="2397"/>
      <c r="J160" s="2391"/>
    </row>
    <row r="161" spans="1:11" ht="18" customHeight="1" x14ac:dyDescent="0.2">
      <c r="A161" s="2392" t="s">
        <v>378</v>
      </c>
      <c r="B161" s="2393"/>
      <c r="C161" s="2117"/>
      <c r="D161" s="2118"/>
      <c r="E161" s="472"/>
      <c r="F161" s="472"/>
      <c r="G161" s="472"/>
      <c r="H161" s="2108">
        <f>+H162</f>
        <v>1588320</v>
      </c>
      <c r="I161" s="2109">
        <f>+I162</f>
        <v>14505.26</v>
      </c>
      <c r="J161" s="482">
        <f t="shared" ref="J161:J164" si="17">+I161/H161*100</f>
        <v>0.91324544172458955</v>
      </c>
    </row>
    <row r="162" spans="1:11" ht="25.5" x14ac:dyDescent="0.2">
      <c r="A162" s="297">
        <v>1</v>
      </c>
      <c r="B162" s="2119" t="s">
        <v>1168</v>
      </c>
      <c r="C162" s="2120" t="s">
        <v>350</v>
      </c>
      <c r="D162" s="298" t="s">
        <v>904</v>
      </c>
      <c r="E162" s="290">
        <v>1</v>
      </c>
      <c r="F162" s="290">
        <v>0.48</v>
      </c>
      <c r="G162" s="291">
        <f>(F162/E162)*100</f>
        <v>48</v>
      </c>
      <c r="H162" s="2121">
        <v>1588320</v>
      </c>
      <c r="I162" s="2122">
        <v>14505.26</v>
      </c>
      <c r="J162" s="452">
        <f t="shared" si="17"/>
        <v>0.91324544172458955</v>
      </c>
    </row>
    <row r="163" spans="1:11" ht="17.25" customHeight="1" x14ac:dyDescent="0.2">
      <c r="A163" s="2392" t="s">
        <v>1172</v>
      </c>
      <c r="B163" s="2393"/>
      <c r="C163" s="2117"/>
      <c r="D163" s="2118"/>
      <c r="E163" s="472"/>
      <c r="F163" s="472"/>
      <c r="G163" s="472"/>
      <c r="H163" s="2108">
        <f>+H164+H168+H340+H391</f>
        <v>18587219</v>
      </c>
      <c r="I163" s="2109">
        <f>+I164+I168+I340+I391</f>
        <v>7393732.6399999997</v>
      </c>
      <c r="J163" s="482">
        <f t="shared" si="17"/>
        <v>39.778584628501982</v>
      </c>
    </row>
    <row r="164" spans="1:11" ht="17.25" customHeight="1" x14ac:dyDescent="0.2">
      <c r="A164" s="2026"/>
      <c r="B164" s="2026" t="s">
        <v>1563</v>
      </c>
      <c r="C164" s="2117"/>
      <c r="D164" s="2118"/>
      <c r="E164" s="472"/>
      <c r="F164" s="472"/>
      <c r="G164" s="472"/>
      <c r="H164" s="2108">
        <f>SUM(H165:H167)</f>
        <v>10715060</v>
      </c>
      <c r="I164" s="2109">
        <f>SUM(I165:I167)</f>
        <v>5193317</v>
      </c>
      <c r="J164" s="482">
        <f t="shared" si="17"/>
        <v>48.467456085173581</v>
      </c>
    </row>
    <row r="165" spans="1:11" ht="27.75" customHeight="1" x14ac:dyDescent="0.2">
      <c r="A165" s="300">
        <v>1</v>
      </c>
      <c r="B165" s="352" t="s">
        <v>1170</v>
      </c>
      <c r="C165" s="298" t="s">
        <v>32</v>
      </c>
      <c r="D165" s="402"/>
      <c r="E165" s="290"/>
      <c r="F165" s="2123"/>
      <c r="G165" s="2124"/>
      <c r="H165" s="2125">
        <v>207784</v>
      </c>
      <c r="I165" s="2126">
        <v>98495</v>
      </c>
      <c r="J165" s="2127">
        <f t="shared" ref="J165:J167" si="18">I165/H165*100</f>
        <v>47.402591152350517</v>
      </c>
    </row>
    <row r="166" spans="1:11" ht="27.75" customHeight="1" x14ac:dyDescent="0.2">
      <c r="A166" s="300">
        <v>2</v>
      </c>
      <c r="B166" s="352" t="s">
        <v>1171</v>
      </c>
      <c r="C166" s="298" t="s">
        <v>32</v>
      </c>
      <c r="D166" s="352"/>
      <c r="E166" s="290"/>
      <c r="F166" s="2123"/>
      <c r="G166" s="2124"/>
      <c r="H166" s="2125">
        <v>238773</v>
      </c>
      <c r="I166" s="2126">
        <v>126666</v>
      </c>
      <c r="J166" s="2127">
        <f t="shared" si="18"/>
        <v>53.048711537736679</v>
      </c>
    </row>
    <row r="167" spans="1:11" ht="30" customHeight="1" x14ac:dyDescent="0.2">
      <c r="A167" s="300">
        <v>3</v>
      </c>
      <c r="B167" s="352" t="s">
        <v>1169</v>
      </c>
      <c r="C167" s="298" t="s">
        <v>32</v>
      </c>
      <c r="D167" s="352"/>
      <c r="E167" s="290"/>
      <c r="F167" s="2123"/>
      <c r="G167" s="2124"/>
      <c r="H167" s="2125">
        <v>10268503</v>
      </c>
      <c r="I167" s="2126">
        <v>4968156</v>
      </c>
      <c r="J167" s="2127">
        <f t="shared" si="18"/>
        <v>48.382476004535427</v>
      </c>
    </row>
    <row r="168" spans="1:11" ht="31.5" customHeight="1" x14ac:dyDescent="0.2">
      <c r="A168" s="2128"/>
      <c r="B168" s="2129" t="s">
        <v>1301</v>
      </c>
      <c r="C168" s="2129"/>
      <c r="D168" s="2130"/>
      <c r="E168" s="2131"/>
      <c r="F168" s="2131"/>
      <c r="G168" s="2132"/>
      <c r="H168" s="2133">
        <f>+H298+H339</f>
        <v>3377772</v>
      </c>
      <c r="I168" s="2134">
        <f>+I298+I339</f>
        <v>787399.3899999999</v>
      </c>
      <c r="J168" s="2109">
        <f>+I168/H168*100</f>
        <v>23.311206025747147</v>
      </c>
      <c r="K168" s="93"/>
    </row>
    <row r="169" spans="1:11" ht="25.5" x14ac:dyDescent="0.2">
      <c r="A169" s="316">
        <v>1</v>
      </c>
      <c r="B169" s="342" t="s">
        <v>1304</v>
      </c>
      <c r="C169" s="318"/>
      <c r="D169" s="319"/>
      <c r="E169" s="320"/>
      <c r="F169" s="320"/>
      <c r="G169" s="864"/>
      <c r="H169" s="428">
        <f>SUM(H170,H173)</f>
        <v>127550</v>
      </c>
      <c r="I169" s="429">
        <f>SUM(I170,I173)</f>
        <v>36690.9</v>
      </c>
      <c r="J169" s="462">
        <f t="shared" ref="J169:J193" si="19">+I169/H169*100</f>
        <v>28.76589572716582</v>
      </c>
      <c r="K169" s="93"/>
    </row>
    <row r="170" spans="1:11" ht="27.75" customHeight="1" x14ac:dyDescent="0.2">
      <c r="A170" s="857"/>
      <c r="B170" s="304" t="s">
        <v>1173</v>
      </c>
      <c r="C170" s="303"/>
      <c r="D170" s="305"/>
      <c r="E170" s="306"/>
      <c r="F170" s="306"/>
      <c r="G170" s="865"/>
      <c r="H170" s="430">
        <f t="shared" ref="H170" si="20">SUM(H171)</f>
        <v>60000</v>
      </c>
      <c r="I170" s="332">
        <f>+I171</f>
        <v>12000</v>
      </c>
      <c r="J170" s="503">
        <f t="shared" si="19"/>
        <v>20</v>
      </c>
    </row>
    <row r="171" spans="1:11" ht="27.75" customHeight="1" x14ac:dyDescent="0.2">
      <c r="A171" s="857"/>
      <c r="B171" s="307" t="s">
        <v>1174</v>
      </c>
      <c r="C171" s="303"/>
      <c r="D171" s="308"/>
      <c r="E171" s="306"/>
      <c r="F171" s="306"/>
      <c r="G171" s="865"/>
      <c r="H171" s="430">
        <f>SUM(H172:H172)</f>
        <v>60000</v>
      </c>
      <c r="I171" s="332">
        <f>+I172</f>
        <v>12000</v>
      </c>
      <c r="J171" s="503">
        <f t="shared" si="19"/>
        <v>20</v>
      </c>
    </row>
    <row r="172" spans="1:11" ht="17.25" customHeight="1" x14ac:dyDescent="0.2">
      <c r="A172" s="309"/>
      <c r="B172" s="310" t="s">
        <v>1175</v>
      </c>
      <c r="C172" s="303" t="s">
        <v>32</v>
      </c>
      <c r="D172" s="311" t="s">
        <v>1176</v>
      </c>
      <c r="E172" s="306">
        <v>1</v>
      </c>
      <c r="F172" s="306">
        <v>1</v>
      </c>
      <c r="G172" s="865">
        <v>100</v>
      </c>
      <c r="H172" s="430">
        <v>60000</v>
      </c>
      <c r="I172" s="332">
        <f>12000</f>
        <v>12000</v>
      </c>
      <c r="J172" s="503">
        <f t="shared" si="19"/>
        <v>20</v>
      </c>
    </row>
    <row r="173" spans="1:11" ht="21.75" customHeight="1" x14ac:dyDescent="0.2">
      <c r="A173" s="857"/>
      <c r="B173" s="312" t="s">
        <v>1177</v>
      </c>
      <c r="C173" s="303" t="s">
        <v>32</v>
      </c>
      <c r="D173" s="305"/>
      <c r="E173" s="306"/>
      <c r="F173" s="306"/>
      <c r="G173" s="865">
        <f>+SUM(G174+G176+G181)/3</f>
        <v>0</v>
      </c>
      <c r="H173" s="430">
        <f>SUM(H174,H176,H181)</f>
        <v>67550</v>
      </c>
      <c r="I173" s="332">
        <f t="shared" ref="I173" si="21">SUM(I174,I176,I181)</f>
        <v>24690.9</v>
      </c>
      <c r="J173" s="503">
        <f t="shared" si="19"/>
        <v>36.5520355292376</v>
      </c>
    </row>
    <row r="174" spans="1:11" ht="25.5" customHeight="1" x14ac:dyDescent="0.2">
      <c r="A174" s="857"/>
      <c r="B174" s="313" t="s">
        <v>1178</v>
      </c>
      <c r="C174" s="303"/>
      <c r="D174" s="308"/>
      <c r="E174" s="306"/>
      <c r="F174" s="306"/>
      <c r="G174" s="865">
        <v>0</v>
      </c>
      <c r="H174" s="430">
        <f>SUM(H175:H175)</f>
        <v>0</v>
      </c>
      <c r="I174" s="332"/>
      <c r="J174" s="503"/>
    </row>
    <row r="175" spans="1:11" ht="25.5" customHeight="1" x14ac:dyDescent="0.2">
      <c r="A175" s="309"/>
      <c r="B175" s="310" t="s">
        <v>1564</v>
      </c>
      <c r="C175" s="303" t="s">
        <v>32</v>
      </c>
      <c r="D175" s="311" t="s">
        <v>736</v>
      </c>
      <c r="E175" s="306">
        <v>1</v>
      </c>
      <c r="F175" s="306"/>
      <c r="G175" s="865">
        <v>0</v>
      </c>
      <c r="H175" s="430"/>
      <c r="I175" s="332"/>
      <c r="J175" s="503"/>
    </row>
    <row r="176" spans="1:11" ht="25.5" x14ac:dyDescent="0.2">
      <c r="A176" s="857"/>
      <c r="B176" s="313" t="s">
        <v>1291</v>
      </c>
      <c r="C176" s="303"/>
      <c r="D176" s="308"/>
      <c r="E176" s="314"/>
      <c r="F176" s="314"/>
      <c r="G176" s="866">
        <v>0</v>
      </c>
      <c r="H176" s="431">
        <f>SUM(H177:H180)</f>
        <v>6000</v>
      </c>
      <c r="I176" s="432">
        <f>+SUM(I177:I180)</f>
        <v>0</v>
      </c>
      <c r="J176" s="503"/>
    </row>
    <row r="177" spans="1:10" ht="25.5" customHeight="1" x14ac:dyDescent="0.2">
      <c r="A177" s="309"/>
      <c r="B177" s="310" t="s">
        <v>1179</v>
      </c>
      <c r="C177" s="303" t="s">
        <v>32</v>
      </c>
      <c r="D177" s="311" t="s">
        <v>166</v>
      </c>
      <c r="E177" s="306">
        <v>24</v>
      </c>
      <c r="F177" s="306"/>
      <c r="G177" s="865">
        <v>0</v>
      </c>
      <c r="H177" s="430">
        <v>2000</v>
      </c>
      <c r="I177" s="332"/>
      <c r="J177" s="503"/>
    </row>
    <row r="178" spans="1:10" ht="18" customHeight="1" x14ac:dyDescent="0.2">
      <c r="A178" s="309"/>
      <c r="B178" s="310" t="s">
        <v>1180</v>
      </c>
      <c r="C178" s="303" t="s">
        <v>32</v>
      </c>
      <c r="D178" s="311" t="s">
        <v>166</v>
      </c>
      <c r="E178" s="306">
        <v>24</v>
      </c>
      <c r="F178" s="306"/>
      <c r="G178" s="865">
        <v>0</v>
      </c>
      <c r="H178" s="430"/>
      <c r="I178" s="332"/>
      <c r="J178" s="503"/>
    </row>
    <row r="179" spans="1:10" ht="25.5" x14ac:dyDescent="0.2">
      <c r="A179" s="309"/>
      <c r="B179" s="310" t="s">
        <v>1181</v>
      </c>
      <c r="C179" s="303" t="s">
        <v>32</v>
      </c>
      <c r="D179" s="311" t="s">
        <v>166</v>
      </c>
      <c r="E179" s="306">
        <v>2</v>
      </c>
      <c r="F179" s="306"/>
      <c r="G179" s="865">
        <v>0</v>
      </c>
      <c r="H179" s="430">
        <v>4000</v>
      </c>
      <c r="I179" s="332"/>
      <c r="J179" s="503"/>
    </row>
    <row r="180" spans="1:10" ht="21" customHeight="1" x14ac:dyDescent="0.2">
      <c r="A180" s="309"/>
      <c r="B180" s="310" t="s">
        <v>1182</v>
      </c>
      <c r="C180" s="303" t="s">
        <v>32</v>
      </c>
      <c r="D180" s="311" t="s">
        <v>166</v>
      </c>
      <c r="E180" s="306">
        <v>24</v>
      </c>
      <c r="F180" s="306"/>
      <c r="G180" s="865">
        <v>0</v>
      </c>
      <c r="H180" s="430"/>
      <c r="I180" s="332"/>
      <c r="J180" s="503"/>
    </row>
    <row r="181" spans="1:10" ht="27.75" customHeight="1" x14ac:dyDescent="0.2">
      <c r="A181" s="857"/>
      <c r="B181" s="313" t="s">
        <v>1292</v>
      </c>
      <c r="C181" s="303"/>
      <c r="D181" s="308"/>
      <c r="E181" s="314"/>
      <c r="F181" s="314"/>
      <c r="G181" s="866"/>
      <c r="H181" s="431">
        <f>SUM(H182:H184)</f>
        <v>61550</v>
      </c>
      <c r="I181" s="432">
        <f>+SUM(I182:I184)</f>
        <v>24690.9</v>
      </c>
      <c r="J181" s="503">
        <f t="shared" si="19"/>
        <v>40.11519090170593</v>
      </c>
    </row>
    <row r="182" spans="1:10" ht="25.5" customHeight="1" x14ac:dyDescent="0.2">
      <c r="A182" s="315"/>
      <c r="B182" s="310" t="s">
        <v>1179</v>
      </c>
      <c r="C182" s="303" t="s">
        <v>32</v>
      </c>
      <c r="D182" s="311" t="s">
        <v>166</v>
      </c>
      <c r="E182" s="306">
        <v>84</v>
      </c>
      <c r="F182" s="306">
        <v>84</v>
      </c>
      <c r="G182" s="865">
        <v>100</v>
      </c>
      <c r="H182" s="430">
        <v>30000</v>
      </c>
      <c r="I182" s="332">
        <v>12600.9</v>
      </c>
      <c r="J182" s="503">
        <f t="shared" si="19"/>
        <v>42.003</v>
      </c>
    </row>
    <row r="183" spans="1:10" ht="25.5" x14ac:dyDescent="0.2">
      <c r="A183" s="315"/>
      <c r="B183" s="310" t="s">
        <v>1181</v>
      </c>
      <c r="C183" s="303" t="s">
        <v>32</v>
      </c>
      <c r="D183" s="311" t="s">
        <v>249</v>
      </c>
      <c r="E183" s="306">
        <v>21</v>
      </c>
      <c r="F183" s="306">
        <v>21</v>
      </c>
      <c r="G183" s="865">
        <v>100</v>
      </c>
      <c r="H183" s="430">
        <v>11550</v>
      </c>
      <c r="I183" s="332">
        <v>12090</v>
      </c>
      <c r="J183" s="503">
        <f t="shared" si="19"/>
        <v>104.67532467532467</v>
      </c>
    </row>
    <row r="184" spans="1:10" ht="18.75" customHeight="1" x14ac:dyDescent="0.2">
      <c r="A184" s="315"/>
      <c r="B184" s="310" t="s">
        <v>1183</v>
      </c>
      <c r="C184" s="303" t="s">
        <v>32</v>
      </c>
      <c r="D184" s="311" t="s">
        <v>731</v>
      </c>
      <c r="E184" s="306">
        <v>13</v>
      </c>
      <c r="F184" s="306"/>
      <c r="G184" s="865">
        <v>0</v>
      </c>
      <c r="H184" s="430">
        <v>20000</v>
      </c>
      <c r="I184" s="332">
        <v>0</v>
      </c>
      <c r="J184" s="503">
        <f t="shared" si="19"/>
        <v>0</v>
      </c>
    </row>
    <row r="185" spans="1:10" ht="27" customHeight="1" x14ac:dyDescent="0.2">
      <c r="A185" s="316">
        <v>2</v>
      </c>
      <c r="B185" s="317" t="s">
        <v>1293</v>
      </c>
      <c r="C185" s="318"/>
      <c r="D185" s="319"/>
      <c r="E185" s="320"/>
      <c r="F185" s="320"/>
      <c r="G185" s="864"/>
      <c r="H185" s="428">
        <f>SUM(H186,H190)</f>
        <v>91001</v>
      </c>
      <c r="I185" s="429">
        <f>SUM(I186,I190)</f>
        <v>1001</v>
      </c>
      <c r="J185" s="462">
        <f t="shared" si="19"/>
        <v>1.0999879122207448</v>
      </c>
    </row>
    <row r="186" spans="1:10" ht="28.5" customHeight="1" x14ac:dyDescent="0.2">
      <c r="A186" s="857"/>
      <c r="B186" s="312" t="s">
        <v>1294</v>
      </c>
      <c r="C186" s="303" t="s">
        <v>32</v>
      </c>
      <c r="D186" s="305"/>
      <c r="E186" s="321"/>
      <c r="F186" s="321"/>
      <c r="G186" s="867"/>
      <c r="H186" s="433">
        <f>SUM(H187:H189)</f>
        <v>71001</v>
      </c>
      <c r="I186" s="434">
        <f>SUM(I187:I189)</f>
        <v>1001</v>
      </c>
      <c r="J186" s="503">
        <f t="shared" si="19"/>
        <v>1.4098392980380559</v>
      </c>
    </row>
    <row r="187" spans="1:10" ht="25.5" x14ac:dyDescent="0.2">
      <c r="A187" s="309"/>
      <c r="B187" s="310" t="s">
        <v>1184</v>
      </c>
      <c r="C187" s="303" t="s">
        <v>32</v>
      </c>
      <c r="D187" s="311" t="s">
        <v>1176</v>
      </c>
      <c r="E187" s="321">
        <v>1</v>
      </c>
      <c r="F187" s="321"/>
      <c r="G187" s="867">
        <v>0</v>
      </c>
      <c r="H187" s="516">
        <v>35000</v>
      </c>
      <c r="I187" s="434"/>
      <c r="J187" s="503">
        <f t="shared" si="19"/>
        <v>0</v>
      </c>
    </row>
    <row r="188" spans="1:10" ht="25.5" x14ac:dyDescent="0.2">
      <c r="A188" s="309"/>
      <c r="B188" s="310" t="s">
        <v>1185</v>
      </c>
      <c r="C188" s="303" t="s">
        <v>32</v>
      </c>
      <c r="D188" s="311" t="s">
        <v>1176</v>
      </c>
      <c r="E188" s="321">
        <v>1</v>
      </c>
      <c r="F188" s="321"/>
      <c r="G188" s="867">
        <v>0</v>
      </c>
      <c r="H188" s="516">
        <v>35000</v>
      </c>
      <c r="I188" s="434"/>
      <c r="J188" s="503">
        <f t="shared" si="19"/>
        <v>0</v>
      </c>
    </row>
    <row r="189" spans="1:10" ht="25.5" x14ac:dyDescent="0.2">
      <c r="A189" s="309"/>
      <c r="B189" s="310" t="s">
        <v>1186</v>
      </c>
      <c r="C189" s="303" t="s">
        <v>32</v>
      </c>
      <c r="D189" s="311" t="s">
        <v>1176</v>
      </c>
      <c r="E189" s="321">
        <v>1</v>
      </c>
      <c r="F189" s="1992">
        <v>1</v>
      </c>
      <c r="G189" s="868">
        <v>100</v>
      </c>
      <c r="H189" s="516">
        <v>1001</v>
      </c>
      <c r="I189" s="1993">
        <v>1001</v>
      </c>
      <c r="J189" s="291">
        <f t="shared" si="19"/>
        <v>100</v>
      </c>
    </row>
    <row r="190" spans="1:10" ht="25.5" x14ac:dyDescent="0.2">
      <c r="A190" s="857"/>
      <c r="B190" s="304" t="s">
        <v>1295</v>
      </c>
      <c r="C190" s="303" t="s">
        <v>32</v>
      </c>
      <c r="D190" s="305"/>
      <c r="E190" s="321"/>
      <c r="F190" s="321"/>
      <c r="G190" s="867">
        <v>0</v>
      </c>
      <c r="H190" s="433">
        <f>SUM(H191:H191)</f>
        <v>20000</v>
      </c>
      <c r="I190" s="434">
        <f t="shared" ref="I190" si="22">SUM(I191:I191)</f>
        <v>0</v>
      </c>
      <c r="J190" s="503">
        <f t="shared" si="19"/>
        <v>0</v>
      </c>
    </row>
    <row r="191" spans="1:10" ht="20.25" customHeight="1" x14ac:dyDescent="0.2">
      <c r="A191" s="309"/>
      <c r="B191" s="310" t="s">
        <v>1187</v>
      </c>
      <c r="C191" s="303" t="s">
        <v>32</v>
      </c>
      <c r="D191" s="311" t="s">
        <v>1188</v>
      </c>
      <c r="E191" s="306">
        <v>24</v>
      </c>
      <c r="F191" s="306"/>
      <c r="G191" s="865">
        <v>0</v>
      </c>
      <c r="H191" s="430">
        <v>20000</v>
      </c>
      <c r="I191" s="332"/>
      <c r="J191" s="503">
        <f t="shared" si="19"/>
        <v>0</v>
      </c>
    </row>
    <row r="192" spans="1:10" ht="20.25" customHeight="1" x14ac:dyDescent="0.2">
      <c r="A192" s="316">
        <v>3</v>
      </c>
      <c r="B192" s="317" t="s">
        <v>1300</v>
      </c>
      <c r="C192" s="318"/>
      <c r="D192" s="319"/>
      <c r="E192" s="320"/>
      <c r="F192" s="320"/>
      <c r="G192" s="864"/>
      <c r="H192" s="435">
        <f t="shared" ref="H192" si="23">SUM(H193)</f>
        <v>165210.57</v>
      </c>
      <c r="I192" s="436">
        <f t="shared" ref="I192" si="24">SUM(I193)</f>
        <v>148163.97</v>
      </c>
      <c r="J192" s="503">
        <f t="shared" si="19"/>
        <v>89.681895050661709</v>
      </c>
    </row>
    <row r="193" spans="1:10" ht="17.25" customHeight="1" x14ac:dyDescent="0.2">
      <c r="A193" s="857"/>
      <c r="B193" s="304" t="s">
        <v>1296</v>
      </c>
      <c r="C193" s="303" t="s">
        <v>32</v>
      </c>
      <c r="D193" s="305"/>
      <c r="E193" s="321"/>
      <c r="F193" s="321"/>
      <c r="G193" s="867">
        <f>+SUM(G194+G197+G206)/3</f>
        <v>0</v>
      </c>
      <c r="H193" s="433">
        <f t="shared" ref="H193" si="25">SUM(H194,H197,H206)</f>
        <v>165210.57</v>
      </c>
      <c r="I193" s="434">
        <f>SUM(I194,I197,I206)</f>
        <v>148163.97</v>
      </c>
      <c r="J193" s="503">
        <f t="shared" si="19"/>
        <v>89.681895050661709</v>
      </c>
    </row>
    <row r="194" spans="1:10" ht="27.75" customHeight="1" x14ac:dyDescent="0.2">
      <c r="A194" s="857"/>
      <c r="B194" s="307" t="s">
        <v>1297</v>
      </c>
      <c r="C194" s="303" t="s">
        <v>32</v>
      </c>
      <c r="D194" s="308"/>
      <c r="E194" s="314"/>
      <c r="F194" s="314"/>
      <c r="G194" s="866"/>
      <c r="H194" s="431">
        <v>0</v>
      </c>
      <c r="I194" s="432">
        <f t="shared" ref="I194" si="26">SUM(I195:I196)</f>
        <v>0</v>
      </c>
      <c r="J194" s="503"/>
    </row>
    <row r="195" spans="1:10" ht="25.5" x14ac:dyDescent="0.2">
      <c r="A195" s="309"/>
      <c r="B195" s="310" t="s">
        <v>1189</v>
      </c>
      <c r="C195" s="303" t="s">
        <v>32</v>
      </c>
      <c r="D195" s="311" t="s">
        <v>1190</v>
      </c>
      <c r="E195" s="306">
        <v>0</v>
      </c>
      <c r="F195" s="306"/>
      <c r="G195" s="865"/>
      <c r="H195" s="430">
        <v>0</v>
      </c>
      <c r="I195" s="332"/>
      <c r="J195" s="503"/>
    </row>
    <row r="196" spans="1:10" ht="18.75" customHeight="1" x14ac:dyDescent="0.2">
      <c r="A196" s="309"/>
      <c r="B196" s="310" t="s">
        <v>1191</v>
      </c>
      <c r="C196" s="303" t="s">
        <v>32</v>
      </c>
      <c r="D196" s="311" t="s">
        <v>1190</v>
      </c>
      <c r="E196" s="306">
        <v>0</v>
      </c>
      <c r="F196" s="306"/>
      <c r="G196" s="865"/>
      <c r="H196" s="430">
        <f>+E196*13340.2</f>
        <v>0</v>
      </c>
      <c r="I196" s="332"/>
      <c r="J196" s="503"/>
    </row>
    <row r="197" spans="1:10" ht="28.5" customHeight="1" x14ac:dyDescent="0.2">
      <c r="A197" s="857"/>
      <c r="B197" s="307" t="s">
        <v>1298</v>
      </c>
      <c r="C197" s="303"/>
      <c r="D197" s="308"/>
      <c r="E197" s="314"/>
      <c r="F197" s="314"/>
      <c r="G197" s="866"/>
      <c r="H197" s="431">
        <f t="shared" ref="H197" si="27">SUM(H198:H205)</f>
        <v>133660.57</v>
      </c>
      <c r="I197" s="432">
        <f>SUM(I198:I205)</f>
        <v>125979.97</v>
      </c>
      <c r="J197" s="503">
        <f>+I197/H197*100</f>
        <v>94.253653115499944</v>
      </c>
    </row>
    <row r="198" spans="1:10" ht="25.5" x14ac:dyDescent="0.2">
      <c r="A198" s="309"/>
      <c r="B198" s="310" t="s">
        <v>1339</v>
      </c>
      <c r="C198" s="303" t="s">
        <v>32</v>
      </c>
      <c r="D198" s="311" t="s">
        <v>1190</v>
      </c>
      <c r="E198" s="306">
        <v>0</v>
      </c>
      <c r="F198" s="306"/>
      <c r="G198" s="865"/>
      <c r="H198" s="430">
        <v>0</v>
      </c>
      <c r="I198" s="332"/>
      <c r="J198" s="503">
        <v>0</v>
      </c>
    </row>
    <row r="199" spans="1:10" ht="18.75" customHeight="1" x14ac:dyDescent="0.2">
      <c r="A199" s="309"/>
      <c r="B199" s="310" t="s">
        <v>1335</v>
      </c>
      <c r="C199" s="303" t="s">
        <v>32</v>
      </c>
      <c r="D199" s="311" t="s">
        <v>1190</v>
      </c>
      <c r="E199" s="306">
        <v>36</v>
      </c>
      <c r="F199" s="306">
        <v>36</v>
      </c>
      <c r="G199" s="865">
        <v>100</v>
      </c>
      <c r="H199" s="430">
        <v>133660.57</v>
      </c>
      <c r="I199" s="332">
        <v>125979.97</v>
      </c>
      <c r="J199" s="291">
        <f>+I199/H199*100</f>
        <v>94.253653115499944</v>
      </c>
    </row>
    <row r="200" spans="1:10" ht="18" customHeight="1" x14ac:dyDescent="0.2">
      <c r="A200" s="309"/>
      <c r="B200" s="310" t="s">
        <v>1336</v>
      </c>
      <c r="C200" s="303" t="s">
        <v>32</v>
      </c>
      <c r="D200" s="311" t="s">
        <v>1190</v>
      </c>
      <c r="E200" s="306"/>
      <c r="F200" s="306"/>
      <c r="G200" s="865"/>
      <c r="H200" s="332"/>
      <c r="I200" s="332"/>
      <c r="J200" s="503">
        <v>0</v>
      </c>
    </row>
    <row r="201" spans="1:10" ht="15.75" customHeight="1" x14ac:dyDescent="0.2">
      <c r="A201" s="309"/>
      <c r="B201" s="310" t="s">
        <v>1337</v>
      </c>
      <c r="C201" s="303" t="s">
        <v>32</v>
      </c>
      <c r="D201" s="311" t="s">
        <v>1190</v>
      </c>
      <c r="E201" s="306"/>
      <c r="F201" s="306"/>
      <c r="G201" s="865"/>
      <c r="H201" s="332"/>
      <c r="I201" s="332"/>
      <c r="J201" s="503">
        <v>0</v>
      </c>
    </row>
    <row r="202" spans="1:10" ht="15.75" customHeight="1" x14ac:dyDescent="0.2">
      <c r="A202" s="309"/>
      <c r="B202" s="310" t="s">
        <v>1338</v>
      </c>
      <c r="C202" s="303" t="s">
        <v>32</v>
      </c>
      <c r="D202" s="311" t="s">
        <v>1190</v>
      </c>
      <c r="E202" s="306">
        <v>0</v>
      </c>
      <c r="F202" s="306"/>
      <c r="G202" s="865"/>
      <c r="H202" s="332">
        <v>0</v>
      </c>
      <c r="I202" s="332"/>
      <c r="J202" s="503">
        <v>0</v>
      </c>
    </row>
    <row r="203" spans="1:10" ht="16.5" customHeight="1" x14ac:dyDescent="0.2">
      <c r="A203" s="309" t="s">
        <v>1303</v>
      </c>
      <c r="B203" s="310" t="s">
        <v>1192</v>
      </c>
      <c r="C203" s="303" t="s">
        <v>32</v>
      </c>
      <c r="D203" s="311" t="s">
        <v>1190</v>
      </c>
      <c r="E203" s="306"/>
      <c r="F203" s="306"/>
      <c r="G203" s="865"/>
      <c r="H203" s="332"/>
      <c r="I203" s="332"/>
      <c r="J203" s="503"/>
    </row>
    <row r="204" spans="1:10" ht="17.25" customHeight="1" x14ac:dyDescent="0.2">
      <c r="A204" s="309"/>
      <c r="B204" s="310" t="s">
        <v>1193</v>
      </c>
      <c r="C204" s="303" t="s">
        <v>32</v>
      </c>
      <c r="D204" s="311" t="s">
        <v>1190</v>
      </c>
      <c r="E204" s="306">
        <v>0</v>
      </c>
      <c r="F204" s="306"/>
      <c r="G204" s="865"/>
      <c r="H204" s="332">
        <v>0</v>
      </c>
      <c r="I204" s="332"/>
      <c r="J204" s="503">
        <v>0</v>
      </c>
    </row>
    <row r="205" spans="1:10" ht="16.5" customHeight="1" x14ac:dyDescent="0.2">
      <c r="A205" s="309"/>
      <c r="B205" s="310" t="s">
        <v>1194</v>
      </c>
      <c r="C205" s="303" t="s">
        <v>32</v>
      </c>
      <c r="D205" s="311" t="s">
        <v>1190</v>
      </c>
      <c r="E205" s="306">
        <v>0</v>
      </c>
      <c r="F205" s="306"/>
      <c r="G205" s="865"/>
      <c r="H205" s="332">
        <v>0</v>
      </c>
      <c r="I205" s="332"/>
      <c r="J205" s="503">
        <v>0</v>
      </c>
    </row>
    <row r="206" spans="1:10" ht="25.5" x14ac:dyDescent="0.2">
      <c r="A206" s="857"/>
      <c r="B206" s="307" t="s">
        <v>1305</v>
      </c>
      <c r="C206" s="303"/>
      <c r="D206" s="308"/>
      <c r="E206" s="314"/>
      <c r="F206" s="314"/>
      <c r="G206" s="866"/>
      <c r="H206" s="431">
        <f t="shared" ref="H206" si="28">SUM(H207:H211)</f>
        <v>31550</v>
      </c>
      <c r="I206" s="432">
        <f>SUM(I207:I211)</f>
        <v>22184</v>
      </c>
      <c r="J206" s="503">
        <f>+I206/H206*100</f>
        <v>70.313787638668785</v>
      </c>
    </row>
    <row r="207" spans="1:10" ht="19.5" customHeight="1" x14ac:dyDescent="0.2">
      <c r="A207" s="309"/>
      <c r="B207" s="310" t="s">
        <v>1195</v>
      </c>
      <c r="C207" s="303" t="s">
        <v>32</v>
      </c>
      <c r="D207" s="311" t="s">
        <v>1190</v>
      </c>
      <c r="E207" s="306">
        <v>28</v>
      </c>
      <c r="F207" s="306"/>
      <c r="G207" s="865"/>
      <c r="H207" s="430">
        <v>0</v>
      </c>
      <c r="I207" s="332"/>
      <c r="J207" s="503">
        <v>0</v>
      </c>
    </row>
    <row r="208" spans="1:10" ht="17.25" customHeight="1" x14ac:dyDescent="0.2">
      <c r="A208" s="309"/>
      <c r="B208" s="310" t="s">
        <v>1565</v>
      </c>
      <c r="C208" s="303" t="s">
        <v>32</v>
      </c>
      <c r="D208" s="311" t="s">
        <v>1190</v>
      </c>
      <c r="E208" s="306">
        <v>75</v>
      </c>
      <c r="F208" s="306">
        <v>75</v>
      </c>
      <c r="G208" s="865">
        <v>100</v>
      </c>
      <c r="H208" s="430">
        <v>11550</v>
      </c>
      <c r="I208" s="332">
        <v>11550</v>
      </c>
      <c r="J208" s="291">
        <f>+I208/H208*100</f>
        <v>100</v>
      </c>
    </row>
    <row r="209" spans="1:10" ht="15" customHeight="1" x14ac:dyDescent="0.2">
      <c r="A209" s="309"/>
      <c r="B209" s="310" t="s">
        <v>1566</v>
      </c>
      <c r="C209" s="303" t="s">
        <v>32</v>
      </c>
      <c r="D209" s="311" t="s">
        <v>1190</v>
      </c>
      <c r="E209" s="306">
        <v>13</v>
      </c>
      <c r="F209" s="306">
        <v>13</v>
      </c>
      <c r="G209" s="865">
        <v>100</v>
      </c>
      <c r="H209" s="430">
        <v>20000</v>
      </c>
      <c r="I209" s="332">
        <v>10634</v>
      </c>
      <c r="J209" s="291">
        <f>+I209/H209*100</f>
        <v>53.169999999999995</v>
      </c>
    </row>
    <row r="210" spans="1:10" ht="18" customHeight="1" x14ac:dyDescent="0.2">
      <c r="A210" s="309"/>
      <c r="B210" s="310" t="s">
        <v>1196</v>
      </c>
      <c r="C210" s="303" t="s">
        <v>32</v>
      </c>
      <c r="D210" s="311" t="s">
        <v>1190</v>
      </c>
      <c r="E210" s="306">
        <v>0</v>
      </c>
      <c r="F210" s="306"/>
      <c r="G210" s="865"/>
      <c r="H210" s="430">
        <v>0</v>
      </c>
      <c r="I210" s="332"/>
      <c r="J210" s="503">
        <v>0</v>
      </c>
    </row>
    <row r="211" spans="1:10" ht="18.75" customHeight="1" x14ac:dyDescent="0.2">
      <c r="A211" s="309"/>
      <c r="B211" s="310" t="s">
        <v>1197</v>
      </c>
      <c r="C211" s="303" t="s">
        <v>32</v>
      </c>
      <c r="D211" s="311" t="s">
        <v>1190</v>
      </c>
      <c r="E211" s="306">
        <v>95</v>
      </c>
      <c r="F211" s="306"/>
      <c r="G211" s="865"/>
      <c r="H211" s="430"/>
      <c r="I211" s="332"/>
      <c r="J211" s="503"/>
    </row>
    <row r="212" spans="1:10" ht="28.5" customHeight="1" x14ac:dyDescent="0.2">
      <c r="A212" s="316">
        <v>4</v>
      </c>
      <c r="B212" s="317" t="s">
        <v>1302</v>
      </c>
      <c r="C212" s="318"/>
      <c r="D212" s="319"/>
      <c r="E212" s="320"/>
      <c r="F212" s="320"/>
      <c r="G212" s="864"/>
      <c r="H212" s="428">
        <f>SUM(H213,H222,H246,H254)</f>
        <v>1725081.27</v>
      </c>
      <c r="I212" s="429">
        <f t="shared" ref="I212" si="29">SUM(I213,I222,I246,I254)</f>
        <v>244233</v>
      </c>
      <c r="J212" s="462">
        <f>+I212/H212*100</f>
        <v>14.157767767080328</v>
      </c>
    </row>
    <row r="213" spans="1:10" ht="27" customHeight="1" x14ac:dyDescent="0.2">
      <c r="A213" s="857"/>
      <c r="B213" s="304" t="s">
        <v>1307</v>
      </c>
      <c r="C213" s="303"/>
      <c r="D213" s="305"/>
      <c r="E213" s="321"/>
      <c r="F213" s="321"/>
      <c r="G213" s="867">
        <f>+SUM(G214+G218)/2</f>
        <v>0</v>
      </c>
      <c r="H213" s="433">
        <f>SUM(H214,H218)</f>
        <v>150500</v>
      </c>
      <c r="I213" s="434">
        <f>SUM(I214,I218)</f>
        <v>149973</v>
      </c>
      <c r="J213" s="503">
        <f>+I213/H213*100</f>
        <v>99.649833887043187</v>
      </c>
    </row>
    <row r="214" spans="1:10" ht="29.25" customHeight="1" x14ac:dyDescent="0.2">
      <c r="A214" s="857"/>
      <c r="B214" s="307" t="s">
        <v>1306</v>
      </c>
      <c r="C214" s="303"/>
      <c r="D214" s="308"/>
      <c r="E214" s="314"/>
      <c r="F214" s="314"/>
      <c r="G214" s="866">
        <f>+SUM(G215:G217)/3</f>
        <v>0</v>
      </c>
      <c r="H214" s="431">
        <f>SUM(H215:H217)</f>
        <v>0</v>
      </c>
      <c r="I214" s="432">
        <f t="shared" ref="I214" si="30">SUM(I215:I217)</f>
        <v>0</v>
      </c>
      <c r="J214" s="503">
        <v>0</v>
      </c>
    </row>
    <row r="215" spans="1:10" ht="16.5" customHeight="1" x14ac:dyDescent="0.2">
      <c r="A215" s="309"/>
      <c r="B215" s="310" t="s">
        <v>1334</v>
      </c>
      <c r="C215" s="303" t="s">
        <v>32</v>
      </c>
      <c r="D215" s="311" t="s">
        <v>351</v>
      </c>
      <c r="E215" s="306">
        <v>0</v>
      </c>
      <c r="F215" s="306"/>
      <c r="G215" s="865">
        <v>0</v>
      </c>
      <c r="H215" s="430">
        <v>0</v>
      </c>
      <c r="I215" s="332"/>
      <c r="J215" s="503">
        <v>0</v>
      </c>
    </row>
    <row r="216" spans="1:10" ht="15" customHeight="1" x14ac:dyDescent="0.2">
      <c r="A216" s="309"/>
      <c r="B216" s="310" t="s">
        <v>1198</v>
      </c>
      <c r="C216" s="303" t="s">
        <v>32</v>
      </c>
      <c r="D216" s="311" t="s">
        <v>59</v>
      </c>
      <c r="E216" s="306">
        <v>0</v>
      </c>
      <c r="F216" s="306"/>
      <c r="G216" s="865">
        <v>0</v>
      </c>
      <c r="H216" s="430">
        <v>0</v>
      </c>
      <c r="I216" s="332"/>
      <c r="J216" s="503">
        <v>0</v>
      </c>
    </row>
    <row r="217" spans="1:10" ht="25.5" x14ac:dyDescent="0.2">
      <c r="A217" s="309"/>
      <c r="B217" s="310" t="s">
        <v>1199</v>
      </c>
      <c r="C217" s="303" t="s">
        <v>32</v>
      </c>
      <c r="D217" s="311" t="s">
        <v>351</v>
      </c>
      <c r="E217" s="306">
        <v>0</v>
      </c>
      <c r="F217" s="306"/>
      <c r="G217" s="865">
        <v>0</v>
      </c>
      <c r="H217" s="430">
        <v>0</v>
      </c>
      <c r="I217" s="332"/>
      <c r="J217" s="503">
        <v>0</v>
      </c>
    </row>
    <row r="218" spans="1:10" ht="25.5" x14ac:dyDescent="0.2">
      <c r="A218" s="857"/>
      <c r="B218" s="307" t="s">
        <v>1308</v>
      </c>
      <c r="C218" s="303"/>
      <c r="D218" s="308"/>
      <c r="E218" s="314"/>
      <c r="F218" s="314"/>
      <c r="G218" s="866"/>
      <c r="H218" s="431">
        <f>SUM(H219:H221)</f>
        <v>150500</v>
      </c>
      <c r="I218" s="432">
        <f>SUM(I219:I221)</f>
        <v>149973</v>
      </c>
      <c r="J218" s="503">
        <f t="shared" ref="J218:J228" si="31">+I218/H218*100</f>
        <v>99.649833887043187</v>
      </c>
    </row>
    <row r="219" spans="1:10" ht="25.5" x14ac:dyDescent="0.2">
      <c r="A219" s="309"/>
      <c r="B219" s="310" t="s">
        <v>1200</v>
      </c>
      <c r="C219" s="303" t="s">
        <v>32</v>
      </c>
      <c r="D219" s="311" t="s">
        <v>450</v>
      </c>
      <c r="E219" s="306">
        <v>1</v>
      </c>
      <c r="F219" s="306">
        <v>1</v>
      </c>
      <c r="G219" s="865">
        <v>100</v>
      </c>
      <c r="H219" s="430">
        <v>84000</v>
      </c>
      <c r="I219" s="332">
        <v>83930</v>
      </c>
      <c r="J219" s="291">
        <f t="shared" si="31"/>
        <v>99.916666666666671</v>
      </c>
    </row>
    <row r="220" spans="1:10" ht="28.5" customHeight="1" x14ac:dyDescent="0.2">
      <c r="A220" s="309"/>
      <c r="B220" s="310" t="s">
        <v>1201</v>
      </c>
      <c r="C220" s="303" t="s">
        <v>32</v>
      </c>
      <c r="D220" s="311" t="s">
        <v>450</v>
      </c>
      <c r="E220" s="306">
        <v>1</v>
      </c>
      <c r="F220" s="306">
        <v>1</v>
      </c>
      <c r="G220" s="865">
        <v>100</v>
      </c>
      <c r="H220" s="430">
        <v>63000</v>
      </c>
      <c r="I220" s="332">
        <v>62543</v>
      </c>
      <c r="J220" s="291">
        <f t="shared" si="31"/>
        <v>99.274603174603172</v>
      </c>
    </row>
    <row r="221" spans="1:10" ht="27.75" customHeight="1" x14ac:dyDescent="0.2">
      <c r="A221" s="309"/>
      <c r="B221" s="310" t="s">
        <v>1202</v>
      </c>
      <c r="C221" s="303" t="s">
        <v>32</v>
      </c>
      <c r="D221" s="311" t="s">
        <v>351</v>
      </c>
      <c r="E221" s="306">
        <v>2</v>
      </c>
      <c r="F221" s="306">
        <v>2</v>
      </c>
      <c r="G221" s="865">
        <v>100</v>
      </c>
      <c r="H221" s="430">
        <v>3500</v>
      </c>
      <c r="I221" s="332">
        <v>3500</v>
      </c>
      <c r="J221" s="291">
        <f t="shared" si="31"/>
        <v>100</v>
      </c>
    </row>
    <row r="222" spans="1:10" ht="25.5" x14ac:dyDescent="0.2">
      <c r="A222" s="857"/>
      <c r="B222" s="304" t="s">
        <v>1309</v>
      </c>
      <c r="C222" s="303" t="s">
        <v>32</v>
      </c>
      <c r="D222" s="305"/>
      <c r="E222" s="321"/>
      <c r="F222" s="321"/>
      <c r="G222" s="867">
        <f>+(G223+G239+G243)/3</f>
        <v>0</v>
      </c>
      <c r="H222" s="433">
        <f>SUM(H223,H239,H243)</f>
        <v>1448581.27</v>
      </c>
      <c r="I222" s="434">
        <f>SUM(I223,I239,I243)</f>
        <v>94260</v>
      </c>
      <c r="J222" s="503">
        <f t="shared" si="31"/>
        <v>6.5070563835193038</v>
      </c>
    </row>
    <row r="223" spans="1:10" ht="51" x14ac:dyDescent="0.2">
      <c r="A223" s="857"/>
      <c r="B223" s="307" t="s">
        <v>1310</v>
      </c>
      <c r="C223" s="303"/>
      <c r="D223" s="308"/>
      <c r="E223" s="314"/>
      <c r="F223" s="314"/>
      <c r="G223" s="866"/>
      <c r="H223" s="431">
        <f>SUM(H224:H238)</f>
        <v>97081.27</v>
      </c>
      <c r="I223" s="432">
        <f>+SUM(I224:I238)</f>
        <v>94260</v>
      </c>
      <c r="J223" s="503">
        <f t="shared" si="31"/>
        <v>97.093909051663616</v>
      </c>
    </row>
    <row r="224" spans="1:10" ht="25.5" x14ac:dyDescent="0.2">
      <c r="A224" s="309"/>
      <c r="B224" s="310" t="s">
        <v>1203</v>
      </c>
      <c r="C224" s="303" t="s">
        <v>32</v>
      </c>
      <c r="D224" s="311" t="s">
        <v>351</v>
      </c>
      <c r="E224" s="306">
        <v>1</v>
      </c>
      <c r="F224" s="306">
        <v>1</v>
      </c>
      <c r="G224" s="865">
        <f>+F224/E224*100</f>
        <v>100</v>
      </c>
      <c r="H224" s="430">
        <v>35000</v>
      </c>
      <c r="I224" s="332">
        <v>34990</v>
      </c>
      <c r="J224" s="291">
        <f t="shared" si="31"/>
        <v>99.971428571428561</v>
      </c>
    </row>
    <row r="225" spans="1:10" ht="25.5" x14ac:dyDescent="0.2">
      <c r="A225" s="309"/>
      <c r="B225" s="310" t="s">
        <v>1204</v>
      </c>
      <c r="C225" s="303" t="s">
        <v>32</v>
      </c>
      <c r="D225" s="311" t="s">
        <v>351</v>
      </c>
      <c r="E225" s="306">
        <v>1</v>
      </c>
      <c r="F225" s="306">
        <v>1</v>
      </c>
      <c r="G225" s="865">
        <v>100</v>
      </c>
      <c r="H225" s="430">
        <v>30000</v>
      </c>
      <c r="I225" s="332">
        <v>30000</v>
      </c>
      <c r="J225" s="291">
        <f t="shared" si="31"/>
        <v>100</v>
      </c>
    </row>
    <row r="226" spans="1:10" ht="25.5" x14ac:dyDescent="0.2">
      <c r="A226" s="309"/>
      <c r="B226" s="310" t="s">
        <v>1205</v>
      </c>
      <c r="C226" s="303" t="s">
        <v>32</v>
      </c>
      <c r="D226" s="311" t="s">
        <v>351</v>
      </c>
      <c r="E226" s="306">
        <v>1</v>
      </c>
      <c r="F226" s="306"/>
      <c r="G226" s="865"/>
      <c r="H226" s="430"/>
      <c r="I226" s="332"/>
      <c r="J226" s="291"/>
    </row>
    <row r="227" spans="1:10" ht="25.5" x14ac:dyDescent="0.2">
      <c r="A227" s="309"/>
      <c r="B227" s="310" t="s">
        <v>2797</v>
      </c>
      <c r="C227" s="303" t="s">
        <v>32</v>
      </c>
      <c r="D227" s="311" t="s">
        <v>351</v>
      </c>
      <c r="E227" s="306">
        <v>1</v>
      </c>
      <c r="F227" s="306"/>
      <c r="G227" s="865"/>
      <c r="H227" s="430"/>
      <c r="I227" s="332"/>
      <c r="J227" s="291"/>
    </row>
    <row r="228" spans="1:10" ht="25.5" x14ac:dyDescent="0.2">
      <c r="A228" s="309"/>
      <c r="B228" s="310" t="s">
        <v>1206</v>
      </c>
      <c r="C228" s="303" t="s">
        <v>32</v>
      </c>
      <c r="D228" s="311" t="s">
        <v>351</v>
      </c>
      <c r="E228" s="306">
        <v>1</v>
      </c>
      <c r="F228" s="306">
        <v>1</v>
      </c>
      <c r="G228" s="865">
        <v>100</v>
      </c>
      <c r="H228" s="430">
        <v>29270</v>
      </c>
      <c r="I228" s="332">
        <v>29270</v>
      </c>
      <c r="J228" s="291">
        <f t="shared" si="31"/>
        <v>100</v>
      </c>
    </row>
    <row r="229" spans="1:10" ht="27" customHeight="1" x14ac:dyDescent="0.2">
      <c r="A229" s="309"/>
      <c r="B229" s="310" t="s">
        <v>1207</v>
      </c>
      <c r="C229" s="303" t="s">
        <v>32</v>
      </c>
      <c r="D229" s="311" t="s">
        <v>351</v>
      </c>
      <c r="E229" s="306">
        <v>0</v>
      </c>
      <c r="F229" s="306"/>
      <c r="G229" s="865"/>
      <c r="H229" s="430">
        <v>2811.27</v>
      </c>
      <c r="I229" s="332"/>
      <c r="J229" s="291">
        <v>0</v>
      </c>
    </row>
    <row r="230" spans="1:10" ht="28.5" customHeight="1" x14ac:dyDescent="0.2">
      <c r="A230" s="309"/>
      <c r="B230" s="310" t="s">
        <v>1208</v>
      </c>
      <c r="C230" s="303" t="s">
        <v>32</v>
      </c>
      <c r="D230" s="311" t="s">
        <v>351</v>
      </c>
      <c r="E230" s="306">
        <v>1</v>
      </c>
      <c r="F230" s="306"/>
      <c r="G230" s="865"/>
      <c r="H230" s="430"/>
      <c r="I230" s="332"/>
      <c r="J230" s="503"/>
    </row>
    <row r="231" spans="1:10" ht="27" customHeight="1" x14ac:dyDescent="0.2">
      <c r="A231" s="309"/>
      <c r="B231" s="310" t="s">
        <v>1209</v>
      </c>
      <c r="C231" s="303" t="s">
        <v>32</v>
      </c>
      <c r="D231" s="311" t="s">
        <v>351</v>
      </c>
      <c r="E231" s="306">
        <v>1</v>
      </c>
      <c r="F231" s="306"/>
      <c r="G231" s="865"/>
      <c r="H231" s="430"/>
      <c r="I231" s="332"/>
      <c r="J231" s="503"/>
    </row>
    <row r="232" spans="1:10" ht="28.5" customHeight="1" x14ac:dyDescent="0.2">
      <c r="A232" s="309"/>
      <c r="B232" s="310" t="s">
        <v>1210</v>
      </c>
      <c r="C232" s="303" t="s">
        <v>32</v>
      </c>
      <c r="D232" s="311" t="s">
        <v>351</v>
      </c>
      <c r="E232" s="306">
        <v>1</v>
      </c>
      <c r="F232" s="306"/>
      <c r="G232" s="865"/>
      <c r="H232" s="430"/>
      <c r="I232" s="332"/>
      <c r="J232" s="503"/>
    </row>
    <row r="233" spans="1:10" ht="30" customHeight="1" x14ac:dyDescent="0.2">
      <c r="A233" s="309"/>
      <c r="B233" s="310" t="s">
        <v>1211</v>
      </c>
      <c r="C233" s="303" t="s">
        <v>32</v>
      </c>
      <c r="D233" s="311" t="s">
        <v>351</v>
      </c>
      <c r="E233" s="306">
        <v>1</v>
      </c>
      <c r="F233" s="306"/>
      <c r="G233" s="865"/>
      <c r="H233" s="430"/>
      <c r="I233" s="332"/>
      <c r="J233" s="503"/>
    </row>
    <row r="234" spans="1:10" ht="27.75" customHeight="1" x14ac:dyDescent="0.2">
      <c r="A234" s="309"/>
      <c r="B234" s="310" t="s">
        <v>1212</v>
      </c>
      <c r="C234" s="303" t="s">
        <v>32</v>
      </c>
      <c r="D234" s="311" t="s">
        <v>351</v>
      </c>
      <c r="E234" s="306">
        <v>1</v>
      </c>
      <c r="F234" s="306"/>
      <c r="G234" s="865"/>
      <c r="H234" s="430"/>
      <c r="I234" s="332"/>
      <c r="J234" s="503"/>
    </row>
    <row r="235" spans="1:10" ht="30.75" customHeight="1" x14ac:dyDescent="0.2">
      <c r="A235" s="309"/>
      <c r="B235" s="310" t="s">
        <v>1213</v>
      </c>
      <c r="C235" s="303" t="s">
        <v>32</v>
      </c>
      <c r="D235" s="311" t="s">
        <v>351</v>
      </c>
      <c r="E235" s="306">
        <v>1</v>
      </c>
      <c r="F235" s="306"/>
      <c r="G235" s="865"/>
      <c r="H235" s="430"/>
      <c r="I235" s="332"/>
      <c r="J235" s="503"/>
    </row>
    <row r="236" spans="1:10" ht="25.5" x14ac:dyDescent="0.2">
      <c r="A236" s="309"/>
      <c r="B236" s="310" t="s">
        <v>1214</v>
      </c>
      <c r="C236" s="303" t="s">
        <v>32</v>
      </c>
      <c r="D236" s="311" t="s">
        <v>351</v>
      </c>
      <c r="E236" s="306">
        <v>1</v>
      </c>
      <c r="F236" s="306"/>
      <c r="G236" s="865"/>
      <c r="H236" s="430"/>
      <c r="I236" s="332"/>
      <c r="J236" s="503"/>
    </row>
    <row r="237" spans="1:10" ht="38.25" x14ac:dyDescent="0.2">
      <c r="A237" s="309"/>
      <c r="B237" s="310" t="s">
        <v>1215</v>
      </c>
      <c r="C237" s="303" t="s">
        <v>32</v>
      </c>
      <c r="D237" s="311" t="s">
        <v>351</v>
      </c>
      <c r="E237" s="306">
        <v>1</v>
      </c>
      <c r="F237" s="306"/>
      <c r="G237" s="865"/>
      <c r="H237" s="430"/>
      <c r="I237" s="332"/>
      <c r="J237" s="503"/>
    </row>
    <row r="238" spans="1:10" ht="25.5" x14ac:dyDescent="0.2">
      <c r="A238" s="309"/>
      <c r="B238" s="310" t="s">
        <v>1216</v>
      </c>
      <c r="C238" s="303" t="s">
        <v>32</v>
      </c>
      <c r="D238" s="311" t="s">
        <v>551</v>
      </c>
      <c r="E238" s="306">
        <v>2</v>
      </c>
      <c r="F238" s="306"/>
      <c r="G238" s="865"/>
      <c r="H238" s="430"/>
      <c r="I238" s="332"/>
      <c r="J238" s="503">
        <v>0</v>
      </c>
    </row>
    <row r="239" spans="1:10" ht="27.75" customHeight="1" x14ac:dyDescent="0.2">
      <c r="A239" s="857"/>
      <c r="B239" s="307" t="s">
        <v>1311</v>
      </c>
      <c r="C239" s="303"/>
      <c r="D239" s="308"/>
      <c r="E239" s="322"/>
      <c r="F239" s="322"/>
      <c r="G239" s="869">
        <f>+SUM(G240:G242)/3</f>
        <v>0</v>
      </c>
      <c r="H239" s="437">
        <f>SUM(H240:H242)</f>
        <v>1295500</v>
      </c>
      <c r="I239" s="438">
        <f t="shared" ref="I239" si="32">SUM(I240:I242)</f>
        <v>0</v>
      </c>
      <c r="J239" s="503">
        <f t="shared" ref="J239:J248" si="33">+I239/H239*100</f>
        <v>0</v>
      </c>
    </row>
    <row r="240" spans="1:10" ht="17.25" customHeight="1" x14ac:dyDescent="0.2">
      <c r="A240" s="309"/>
      <c r="B240" s="310" t="s">
        <v>1312</v>
      </c>
      <c r="C240" s="303" t="s">
        <v>32</v>
      </c>
      <c r="D240" s="311" t="s">
        <v>1333</v>
      </c>
      <c r="E240" s="306">
        <v>13</v>
      </c>
      <c r="F240" s="306"/>
      <c r="G240" s="865">
        <v>0</v>
      </c>
      <c r="H240" s="430">
        <v>877500</v>
      </c>
      <c r="I240" s="332"/>
      <c r="J240" s="503">
        <f t="shared" si="33"/>
        <v>0</v>
      </c>
    </row>
    <row r="241" spans="1:10" ht="25.5" x14ac:dyDescent="0.2">
      <c r="A241" s="309"/>
      <c r="B241" s="310" t="s">
        <v>1313</v>
      </c>
      <c r="C241" s="303" t="s">
        <v>32</v>
      </c>
      <c r="D241" s="311" t="s">
        <v>1333</v>
      </c>
      <c r="E241" s="306">
        <v>5</v>
      </c>
      <c r="F241" s="306"/>
      <c r="G241" s="865">
        <v>0</v>
      </c>
      <c r="H241" s="430">
        <v>175000</v>
      </c>
      <c r="I241" s="332"/>
      <c r="J241" s="503">
        <f t="shared" si="33"/>
        <v>0</v>
      </c>
    </row>
    <row r="242" spans="1:10" ht="18.75" customHeight="1" x14ac:dyDescent="0.2">
      <c r="A242" s="309"/>
      <c r="B242" s="310" t="s">
        <v>1314</v>
      </c>
      <c r="C242" s="303" t="s">
        <v>32</v>
      </c>
      <c r="D242" s="311" t="s">
        <v>1333</v>
      </c>
      <c r="E242" s="306">
        <v>9</v>
      </c>
      <c r="F242" s="306"/>
      <c r="G242" s="865">
        <v>0</v>
      </c>
      <c r="H242" s="430">
        <v>243000</v>
      </c>
      <c r="I242" s="332"/>
      <c r="J242" s="503">
        <f t="shared" si="33"/>
        <v>0</v>
      </c>
    </row>
    <row r="243" spans="1:10" ht="29.25" customHeight="1" x14ac:dyDescent="0.2">
      <c r="A243" s="857"/>
      <c r="B243" s="307" t="s">
        <v>1315</v>
      </c>
      <c r="C243" s="303"/>
      <c r="D243" s="308"/>
      <c r="E243" s="314"/>
      <c r="F243" s="314"/>
      <c r="G243" s="866">
        <f>+SUM(G244:G245)/2</f>
        <v>0</v>
      </c>
      <c r="H243" s="431">
        <f>SUM(H244:H245)</f>
        <v>56000</v>
      </c>
      <c r="I243" s="432">
        <f t="shared" ref="I243" si="34">SUM(I244:I245)</f>
        <v>0</v>
      </c>
      <c r="J243" s="503">
        <f t="shared" si="33"/>
        <v>0</v>
      </c>
    </row>
    <row r="244" spans="1:10" ht="41.25" customHeight="1" x14ac:dyDescent="0.2">
      <c r="A244" s="309"/>
      <c r="B244" s="310" t="s">
        <v>1217</v>
      </c>
      <c r="C244" s="303" t="s">
        <v>32</v>
      </c>
      <c r="D244" s="311" t="s">
        <v>1218</v>
      </c>
      <c r="E244" s="306">
        <v>14</v>
      </c>
      <c r="F244" s="306"/>
      <c r="G244" s="865">
        <v>0</v>
      </c>
      <c r="H244" s="430">
        <v>56000</v>
      </c>
      <c r="I244" s="332"/>
      <c r="J244" s="503">
        <f t="shared" si="33"/>
        <v>0</v>
      </c>
    </row>
    <row r="245" spans="1:10" ht="18" customHeight="1" x14ac:dyDescent="0.2">
      <c r="A245" s="309"/>
      <c r="B245" s="310" t="s">
        <v>1219</v>
      </c>
      <c r="C245" s="303" t="s">
        <v>32</v>
      </c>
      <c r="D245" s="311" t="s">
        <v>351</v>
      </c>
      <c r="E245" s="306">
        <v>1</v>
      </c>
      <c r="F245" s="306"/>
      <c r="G245" s="865">
        <v>0</v>
      </c>
      <c r="H245" s="430"/>
      <c r="I245" s="332"/>
      <c r="J245" s="503"/>
    </row>
    <row r="246" spans="1:10" ht="25.5" x14ac:dyDescent="0.2">
      <c r="A246" s="857"/>
      <c r="B246" s="304" t="s">
        <v>1316</v>
      </c>
      <c r="C246" s="303"/>
      <c r="D246" s="305"/>
      <c r="E246" s="321"/>
      <c r="F246" s="321"/>
      <c r="G246" s="867">
        <f>+SUM(G247+G250)</f>
        <v>0</v>
      </c>
      <c r="H246" s="433">
        <f>SUM(H247,H250)</f>
        <v>103500</v>
      </c>
      <c r="I246" s="434">
        <f t="shared" ref="I246" si="35">SUM(I247,I250)</f>
        <v>0</v>
      </c>
      <c r="J246" s="503">
        <f t="shared" si="33"/>
        <v>0</v>
      </c>
    </row>
    <row r="247" spans="1:10" ht="40.5" customHeight="1" x14ac:dyDescent="0.2">
      <c r="A247" s="857"/>
      <c r="B247" s="307" t="s">
        <v>1317</v>
      </c>
      <c r="C247" s="303"/>
      <c r="D247" s="308"/>
      <c r="E247" s="314"/>
      <c r="F247" s="314"/>
      <c r="G247" s="866"/>
      <c r="H247" s="431">
        <f>SUM(H248:H249)</f>
        <v>100000</v>
      </c>
      <c r="I247" s="432">
        <f t="shared" ref="I247" si="36">SUM(I248:I249)</f>
        <v>0</v>
      </c>
      <c r="J247" s="503">
        <f t="shared" si="33"/>
        <v>0</v>
      </c>
    </row>
    <row r="248" spans="1:10" ht="25.5" x14ac:dyDescent="0.2">
      <c r="A248" s="309"/>
      <c r="B248" s="310" t="s">
        <v>1220</v>
      </c>
      <c r="C248" s="303" t="s">
        <v>32</v>
      </c>
      <c r="D248" s="311" t="s">
        <v>1176</v>
      </c>
      <c r="E248" s="306">
        <v>0.66</v>
      </c>
      <c r="F248" s="306"/>
      <c r="G248" s="865"/>
      <c r="H248" s="430">
        <v>100000</v>
      </c>
      <c r="I248" s="332"/>
      <c r="J248" s="503">
        <f t="shared" si="33"/>
        <v>0</v>
      </c>
    </row>
    <row r="249" spans="1:10" ht="25.5" x14ac:dyDescent="0.2">
      <c r="A249" s="309"/>
      <c r="B249" s="310" t="s">
        <v>1221</v>
      </c>
      <c r="C249" s="303" t="s">
        <v>32</v>
      </c>
      <c r="D249" s="311" t="s">
        <v>60</v>
      </c>
      <c r="E249" s="306">
        <v>0</v>
      </c>
      <c r="F249" s="306"/>
      <c r="G249" s="865"/>
      <c r="H249" s="430">
        <v>0</v>
      </c>
      <c r="I249" s="332"/>
      <c r="J249" s="503">
        <v>0</v>
      </c>
    </row>
    <row r="250" spans="1:10" ht="25.5" x14ac:dyDescent="0.2">
      <c r="A250" s="857"/>
      <c r="B250" s="307" t="s">
        <v>1318</v>
      </c>
      <c r="C250" s="303"/>
      <c r="D250" s="308"/>
      <c r="E250" s="314"/>
      <c r="F250" s="314"/>
      <c r="G250" s="866"/>
      <c r="H250" s="431">
        <f>SUM(H251:H253)</f>
        <v>3500</v>
      </c>
      <c r="I250" s="432">
        <f t="shared" ref="I250" si="37">SUM(I251:I253)</f>
        <v>0</v>
      </c>
      <c r="J250" s="503">
        <f>+I250/H250*100</f>
        <v>0</v>
      </c>
    </row>
    <row r="251" spans="1:10" ht="29.25" customHeight="1" x14ac:dyDescent="0.2">
      <c r="A251" s="309"/>
      <c r="B251" s="310" t="s">
        <v>1222</v>
      </c>
      <c r="C251" s="303" t="s">
        <v>32</v>
      </c>
      <c r="D251" s="311" t="s">
        <v>1223</v>
      </c>
      <c r="E251" s="306">
        <v>30</v>
      </c>
      <c r="F251" s="306"/>
      <c r="G251" s="865"/>
      <c r="H251" s="430"/>
      <c r="I251" s="332"/>
      <c r="J251" s="503"/>
    </row>
    <row r="252" spans="1:10" ht="29.25" customHeight="1" x14ac:dyDescent="0.2">
      <c r="A252" s="309"/>
      <c r="B252" s="310" t="s">
        <v>1224</v>
      </c>
      <c r="C252" s="303" t="s">
        <v>32</v>
      </c>
      <c r="D252" s="311" t="s">
        <v>1223</v>
      </c>
      <c r="E252" s="306">
        <v>0</v>
      </c>
      <c r="F252" s="306"/>
      <c r="G252" s="865"/>
      <c r="H252" s="430">
        <v>0</v>
      </c>
      <c r="I252" s="332"/>
      <c r="J252" s="503">
        <v>0</v>
      </c>
    </row>
    <row r="253" spans="1:10" ht="18.75" customHeight="1" x14ac:dyDescent="0.2">
      <c r="A253" s="309"/>
      <c r="B253" s="310" t="s">
        <v>1219</v>
      </c>
      <c r="C253" s="303" t="s">
        <v>32</v>
      </c>
      <c r="D253" s="311" t="s">
        <v>1176</v>
      </c>
      <c r="E253" s="306">
        <v>0.5</v>
      </c>
      <c r="F253" s="306"/>
      <c r="G253" s="865"/>
      <c r="H253" s="430">
        <v>3500</v>
      </c>
      <c r="I253" s="332"/>
      <c r="J253" s="503">
        <f t="shared" ref="J253:J263" si="38">+I253/H253*100</f>
        <v>0</v>
      </c>
    </row>
    <row r="254" spans="1:10" ht="25.5" x14ac:dyDescent="0.2">
      <c r="A254" s="857"/>
      <c r="B254" s="304" t="s">
        <v>1319</v>
      </c>
      <c r="C254" s="303"/>
      <c r="D254" s="305"/>
      <c r="E254" s="321"/>
      <c r="F254" s="321"/>
      <c r="G254" s="867">
        <v>0</v>
      </c>
      <c r="H254" s="433">
        <f>SUM(H255,H259)</f>
        <v>22500</v>
      </c>
      <c r="I254" s="434">
        <f t="shared" ref="I254" si="39">SUM(I255,I259)</f>
        <v>0</v>
      </c>
      <c r="J254" s="503">
        <f t="shared" si="38"/>
        <v>0</v>
      </c>
    </row>
    <row r="255" spans="1:10" ht="18.75" customHeight="1" x14ac:dyDescent="0.2">
      <c r="A255" s="857"/>
      <c r="B255" s="307" t="s">
        <v>1320</v>
      </c>
      <c r="C255" s="303"/>
      <c r="D255" s="308"/>
      <c r="E255" s="314"/>
      <c r="F255" s="314"/>
      <c r="G255" s="866"/>
      <c r="H255" s="431">
        <f>SUM(H256:H258)</f>
        <v>12000</v>
      </c>
      <c r="I255" s="432">
        <f t="shared" ref="I255" si="40">SUM(I256:I258)</f>
        <v>0</v>
      </c>
      <c r="J255" s="503">
        <f t="shared" si="38"/>
        <v>0</v>
      </c>
    </row>
    <row r="256" spans="1:10" ht="39.75" customHeight="1" x14ac:dyDescent="0.2">
      <c r="A256" s="309"/>
      <c r="B256" s="310" t="s">
        <v>1225</v>
      </c>
      <c r="C256" s="303" t="s">
        <v>32</v>
      </c>
      <c r="D256" s="311" t="s">
        <v>1176</v>
      </c>
      <c r="E256" s="306">
        <v>1</v>
      </c>
      <c r="F256" s="306"/>
      <c r="G256" s="865"/>
      <c r="H256" s="430"/>
      <c r="I256" s="332"/>
      <c r="J256" s="503"/>
    </row>
    <row r="257" spans="1:10" ht="38.25" x14ac:dyDescent="0.2">
      <c r="A257" s="309"/>
      <c r="B257" s="310" t="s">
        <v>1226</v>
      </c>
      <c r="C257" s="303" t="s">
        <v>32</v>
      </c>
      <c r="D257" s="311" t="s">
        <v>1176</v>
      </c>
      <c r="E257" s="306">
        <v>1</v>
      </c>
      <c r="F257" s="306"/>
      <c r="G257" s="865"/>
      <c r="H257" s="430"/>
      <c r="I257" s="332"/>
      <c r="J257" s="503"/>
    </row>
    <row r="258" spans="1:10" ht="18.75" customHeight="1" x14ac:dyDescent="0.2">
      <c r="A258" s="309"/>
      <c r="B258" s="310" t="s">
        <v>1227</v>
      </c>
      <c r="C258" s="303" t="s">
        <v>32</v>
      </c>
      <c r="D258" s="311" t="s">
        <v>59</v>
      </c>
      <c r="E258" s="306">
        <v>6</v>
      </c>
      <c r="F258" s="306"/>
      <c r="G258" s="865"/>
      <c r="H258" s="430">
        <v>12000</v>
      </c>
      <c r="I258" s="332"/>
      <c r="J258" s="503">
        <f t="shared" si="38"/>
        <v>0</v>
      </c>
    </row>
    <row r="259" spans="1:10" ht="17.25" customHeight="1" x14ac:dyDescent="0.2">
      <c r="A259" s="857"/>
      <c r="B259" s="307" t="s">
        <v>1321</v>
      </c>
      <c r="C259" s="303"/>
      <c r="D259" s="308"/>
      <c r="E259" s="314"/>
      <c r="F259" s="314"/>
      <c r="G259" s="866"/>
      <c r="H259" s="431">
        <f>SUM(H260:H262)</f>
        <v>10500</v>
      </c>
      <c r="I259" s="432">
        <f t="shared" ref="I259" si="41">SUM(I260:I262)</f>
        <v>0</v>
      </c>
      <c r="J259" s="503">
        <f t="shared" si="38"/>
        <v>0</v>
      </c>
    </row>
    <row r="260" spans="1:10" ht="27.75" customHeight="1" x14ac:dyDescent="0.2">
      <c r="A260" s="309"/>
      <c r="B260" s="310" t="s">
        <v>1228</v>
      </c>
      <c r="C260" s="303" t="s">
        <v>32</v>
      </c>
      <c r="D260" s="311" t="s">
        <v>1176</v>
      </c>
      <c r="E260" s="306">
        <v>1</v>
      </c>
      <c r="F260" s="306"/>
      <c r="G260" s="865"/>
      <c r="H260" s="430"/>
      <c r="I260" s="332"/>
      <c r="J260" s="503"/>
    </row>
    <row r="261" spans="1:10" ht="17.25" customHeight="1" x14ac:dyDescent="0.2">
      <c r="A261" s="309"/>
      <c r="B261" s="310" t="s">
        <v>1229</v>
      </c>
      <c r="C261" s="303" t="s">
        <v>32</v>
      </c>
      <c r="D261" s="311" t="s">
        <v>59</v>
      </c>
      <c r="E261" s="306">
        <v>3</v>
      </c>
      <c r="F261" s="306"/>
      <c r="G261" s="865"/>
      <c r="H261" s="430"/>
      <c r="I261" s="332"/>
      <c r="J261" s="503"/>
    </row>
    <row r="262" spans="1:10" ht="25.5" x14ac:dyDescent="0.2">
      <c r="A262" s="309"/>
      <c r="B262" s="310" t="s">
        <v>1230</v>
      </c>
      <c r="C262" s="303" t="s">
        <v>32</v>
      </c>
      <c r="D262" s="311" t="s">
        <v>1176</v>
      </c>
      <c r="E262" s="306">
        <v>1</v>
      </c>
      <c r="F262" s="306"/>
      <c r="G262" s="865"/>
      <c r="H262" s="430">
        <v>10500</v>
      </c>
      <c r="I262" s="332"/>
      <c r="J262" s="503">
        <f t="shared" si="38"/>
        <v>0</v>
      </c>
    </row>
    <row r="263" spans="1:10" ht="29.25" customHeight="1" x14ac:dyDescent="0.2">
      <c r="A263" s="316">
        <v>5</v>
      </c>
      <c r="B263" s="317" t="s">
        <v>1299</v>
      </c>
      <c r="C263" s="318"/>
      <c r="D263" s="319"/>
      <c r="E263" s="320"/>
      <c r="F263" s="320"/>
      <c r="G263" s="864"/>
      <c r="H263" s="428">
        <f t="shared" ref="H263" si="42">SUM(H264)</f>
        <v>884892.66</v>
      </c>
      <c r="I263" s="429">
        <f t="shared" ref="I263" si="43">SUM(I264)</f>
        <v>250229.05</v>
      </c>
      <c r="J263" s="462">
        <f t="shared" si="38"/>
        <v>28.277898700165505</v>
      </c>
    </row>
    <row r="264" spans="1:10" ht="52.5" customHeight="1" x14ac:dyDescent="0.2">
      <c r="A264" s="857"/>
      <c r="B264" s="304" t="s">
        <v>1322</v>
      </c>
      <c r="C264" s="303"/>
      <c r="D264" s="305"/>
      <c r="E264" s="321"/>
      <c r="F264" s="321"/>
      <c r="G264" s="867"/>
      <c r="H264" s="433">
        <f>SUM(H265,H270,H274,H278,H282,H285,H289,H293,H296)</f>
        <v>884892.66</v>
      </c>
      <c r="I264" s="434">
        <f>SUM(I265,I270,I274,I278,I282,I285,I289,I293,I296)</f>
        <v>250229.05</v>
      </c>
      <c r="J264" s="514">
        <f t="shared" ref="J264" si="44">SUM(J265,J270,J274,J278,J282,J285,J289,J293,J296)</f>
        <v>264.05756807175942</v>
      </c>
    </row>
    <row r="265" spans="1:10" ht="38.25" x14ac:dyDescent="0.2">
      <c r="A265" s="857"/>
      <c r="B265" s="307" t="s">
        <v>1323</v>
      </c>
      <c r="C265" s="303" t="s">
        <v>32</v>
      </c>
      <c r="D265" s="308"/>
      <c r="E265" s="314"/>
      <c r="F265" s="314"/>
      <c r="G265" s="866"/>
      <c r="H265" s="431">
        <f>SUM(H266:H269)</f>
        <v>115150</v>
      </c>
      <c r="I265" s="432">
        <f>SUM(I266:I269)</f>
        <v>18000</v>
      </c>
      <c r="J265" s="515">
        <f t="shared" ref="J265" si="45">SUM(J266:J269)</f>
        <v>54.322344322344321</v>
      </c>
    </row>
    <row r="266" spans="1:10" ht="39.75" customHeight="1" x14ac:dyDescent="0.2">
      <c r="A266" s="309"/>
      <c r="B266" s="310" t="s">
        <v>1231</v>
      </c>
      <c r="C266" s="303" t="s">
        <v>32</v>
      </c>
      <c r="D266" s="311" t="s">
        <v>1232</v>
      </c>
      <c r="E266" s="306">
        <v>8</v>
      </c>
      <c r="F266" s="306"/>
      <c r="G266" s="865"/>
      <c r="H266" s="430">
        <v>32500</v>
      </c>
      <c r="I266" s="332"/>
      <c r="J266" s="503">
        <f>+I266/H266*100</f>
        <v>0</v>
      </c>
    </row>
    <row r="267" spans="1:10" ht="15.75" customHeight="1" x14ac:dyDescent="0.2">
      <c r="A267" s="309"/>
      <c r="B267" s="310" t="s">
        <v>1233</v>
      </c>
      <c r="C267" s="303" t="s">
        <v>32</v>
      </c>
      <c r="D267" s="311" t="s">
        <v>414</v>
      </c>
      <c r="E267" s="306">
        <v>13</v>
      </c>
      <c r="F267" s="306">
        <v>1</v>
      </c>
      <c r="G267" s="865">
        <v>10</v>
      </c>
      <c r="H267" s="430">
        <v>45500</v>
      </c>
      <c r="I267" s="332">
        <v>5000</v>
      </c>
      <c r="J267" s="291">
        <f>+I267/H267*100</f>
        <v>10.989010989010989</v>
      </c>
    </row>
    <row r="268" spans="1:10" ht="17.25" customHeight="1" x14ac:dyDescent="0.2">
      <c r="A268" s="309"/>
      <c r="B268" s="323" t="s">
        <v>1234</v>
      </c>
      <c r="C268" s="303" t="s">
        <v>32</v>
      </c>
      <c r="D268" s="324" t="s">
        <v>414</v>
      </c>
      <c r="E268" s="306">
        <v>13</v>
      </c>
      <c r="F268" s="306">
        <v>1</v>
      </c>
      <c r="G268" s="865">
        <v>10</v>
      </c>
      <c r="H268" s="430">
        <v>30000</v>
      </c>
      <c r="I268" s="332">
        <v>13000</v>
      </c>
      <c r="J268" s="291">
        <f>+I268/H268*100</f>
        <v>43.333333333333336</v>
      </c>
    </row>
    <row r="269" spans="1:10" ht="25.5" x14ac:dyDescent="0.2">
      <c r="A269" s="309"/>
      <c r="B269" s="310" t="s">
        <v>1235</v>
      </c>
      <c r="C269" s="303" t="s">
        <v>32</v>
      </c>
      <c r="D269" s="311" t="s">
        <v>414</v>
      </c>
      <c r="E269" s="306">
        <v>13</v>
      </c>
      <c r="F269" s="306"/>
      <c r="G269" s="865"/>
      <c r="H269" s="430">
        <v>7150</v>
      </c>
      <c r="I269" s="332"/>
      <c r="J269" s="291">
        <f>+I269/H269*100</f>
        <v>0</v>
      </c>
    </row>
    <row r="270" spans="1:10" ht="38.25" x14ac:dyDescent="0.2">
      <c r="A270" s="857"/>
      <c r="B270" s="307" t="s">
        <v>1324</v>
      </c>
      <c r="C270" s="303"/>
      <c r="D270" s="308"/>
      <c r="E270" s="314"/>
      <c r="F270" s="314"/>
      <c r="G270" s="866">
        <v>0</v>
      </c>
      <c r="H270" s="431">
        <f>SUM(H271:H273)</f>
        <v>8468</v>
      </c>
      <c r="I270" s="432">
        <f t="shared" ref="I270:J270" si="46">SUM(I271:I273)</f>
        <v>0</v>
      </c>
      <c r="J270" s="515">
        <f t="shared" si="46"/>
        <v>0</v>
      </c>
    </row>
    <row r="271" spans="1:10" ht="21" customHeight="1" x14ac:dyDescent="0.2">
      <c r="A271" s="309"/>
      <c r="B271" s="323" t="s">
        <v>1236</v>
      </c>
      <c r="C271" s="303" t="s">
        <v>32</v>
      </c>
      <c r="D271" s="324" t="s">
        <v>99</v>
      </c>
      <c r="E271" s="325">
        <v>156</v>
      </c>
      <c r="F271" s="325"/>
      <c r="G271" s="870">
        <v>0</v>
      </c>
      <c r="H271" s="439">
        <v>468</v>
      </c>
      <c r="I271" s="440"/>
      <c r="J271" s="503">
        <f>+I271/H271*100</f>
        <v>0</v>
      </c>
    </row>
    <row r="272" spans="1:10" ht="25.5" x14ac:dyDescent="0.2">
      <c r="A272" s="309"/>
      <c r="B272" s="323" t="s">
        <v>1325</v>
      </c>
      <c r="C272" s="303" t="s">
        <v>32</v>
      </c>
      <c r="D272" s="324" t="s">
        <v>1176</v>
      </c>
      <c r="E272" s="325">
        <v>1</v>
      </c>
      <c r="F272" s="325"/>
      <c r="G272" s="870">
        <v>0</v>
      </c>
      <c r="H272" s="439">
        <v>5000</v>
      </c>
      <c r="I272" s="440"/>
      <c r="J272" s="503">
        <f>+I272/H272*100</f>
        <v>0</v>
      </c>
    </row>
    <row r="273" spans="1:10" ht="25.5" x14ac:dyDescent="0.2">
      <c r="A273" s="309"/>
      <c r="B273" s="310" t="s">
        <v>1237</v>
      </c>
      <c r="C273" s="303" t="s">
        <v>32</v>
      </c>
      <c r="D273" s="311" t="s">
        <v>551</v>
      </c>
      <c r="E273" s="306">
        <v>200</v>
      </c>
      <c r="F273" s="306"/>
      <c r="G273" s="865">
        <v>0</v>
      </c>
      <c r="H273" s="430">
        <v>3000</v>
      </c>
      <c r="I273" s="332"/>
      <c r="J273" s="503">
        <f>+I273/H273*100</f>
        <v>0</v>
      </c>
    </row>
    <row r="274" spans="1:10" ht="38.25" x14ac:dyDescent="0.2">
      <c r="A274" s="857"/>
      <c r="B274" s="307" t="s">
        <v>1326</v>
      </c>
      <c r="C274" s="303"/>
      <c r="D274" s="308"/>
      <c r="E274" s="314"/>
      <c r="F274" s="314"/>
      <c r="G274" s="866">
        <v>0</v>
      </c>
      <c r="H274" s="431">
        <f>SUM(H275:H277)</f>
        <v>160000</v>
      </c>
      <c r="I274" s="432">
        <f t="shared" ref="I274:J274" si="47">SUM(I275:I277)</f>
        <v>0</v>
      </c>
      <c r="J274" s="515">
        <f t="shared" si="47"/>
        <v>0</v>
      </c>
    </row>
    <row r="275" spans="1:10" ht="25.5" x14ac:dyDescent="0.2">
      <c r="A275" s="309"/>
      <c r="B275" s="323" t="s">
        <v>1238</v>
      </c>
      <c r="C275" s="303" t="s">
        <v>32</v>
      </c>
      <c r="D275" s="324" t="s">
        <v>1176</v>
      </c>
      <c r="E275" s="325">
        <v>13</v>
      </c>
      <c r="F275" s="325"/>
      <c r="G275" s="870">
        <v>0</v>
      </c>
      <c r="H275" s="439">
        <v>65000</v>
      </c>
      <c r="I275" s="440"/>
      <c r="J275" s="503">
        <f t="shared" ref="J275:J288" si="48">+I275/H275*100</f>
        <v>0</v>
      </c>
    </row>
    <row r="276" spans="1:10" ht="39.75" customHeight="1" x14ac:dyDescent="0.2">
      <c r="A276" s="309"/>
      <c r="B276" s="310" t="s">
        <v>1239</v>
      </c>
      <c r="C276" s="303" t="s">
        <v>32</v>
      </c>
      <c r="D276" s="311" t="s">
        <v>1232</v>
      </c>
      <c r="E276" s="306">
        <v>13</v>
      </c>
      <c r="F276" s="306"/>
      <c r="G276" s="865">
        <v>0</v>
      </c>
      <c r="H276" s="430">
        <v>65000</v>
      </c>
      <c r="I276" s="332"/>
      <c r="J276" s="503">
        <f t="shared" si="48"/>
        <v>0</v>
      </c>
    </row>
    <row r="277" spans="1:10" ht="41.25" customHeight="1" x14ac:dyDescent="0.2">
      <c r="A277" s="309"/>
      <c r="B277" s="323" t="s">
        <v>1234</v>
      </c>
      <c r="C277" s="303" t="s">
        <v>32</v>
      </c>
      <c r="D277" s="311" t="s">
        <v>1232</v>
      </c>
      <c r="E277" s="325">
        <v>13</v>
      </c>
      <c r="F277" s="325"/>
      <c r="G277" s="870">
        <v>0</v>
      </c>
      <c r="H277" s="439">
        <v>30000</v>
      </c>
      <c r="I277" s="440"/>
      <c r="J277" s="503">
        <f t="shared" si="48"/>
        <v>0</v>
      </c>
    </row>
    <row r="278" spans="1:10" ht="25.5" x14ac:dyDescent="0.2">
      <c r="A278" s="857"/>
      <c r="B278" s="307" t="s">
        <v>1327</v>
      </c>
      <c r="C278" s="303"/>
      <c r="D278" s="308"/>
      <c r="E278" s="314"/>
      <c r="F278" s="314"/>
      <c r="G278" s="866"/>
      <c r="H278" s="431">
        <f>SUM(H279:H281)</f>
        <v>206000</v>
      </c>
      <c r="I278" s="432">
        <f t="shared" ref="I278" si="49">SUM(I279:I281)</f>
        <v>39000</v>
      </c>
      <c r="J278" s="503">
        <f t="shared" si="48"/>
        <v>18.932038834951456</v>
      </c>
    </row>
    <row r="279" spans="1:10" ht="20.25" customHeight="1" x14ac:dyDescent="0.2">
      <c r="A279" s="857"/>
      <c r="B279" s="310" t="s">
        <v>1240</v>
      </c>
      <c r="C279" s="303" t="s">
        <v>32</v>
      </c>
      <c r="D279" s="311" t="s">
        <v>1241</v>
      </c>
      <c r="E279" s="306">
        <v>12</v>
      </c>
      <c r="F279" s="306"/>
      <c r="G279" s="865"/>
      <c r="H279" s="430">
        <v>180000</v>
      </c>
      <c r="I279" s="332"/>
      <c r="J279" s="503"/>
    </row>
    <row r="280" spans="1:10" ht="38.25" x14ac:dyDescent="0.2">
      <c r="A280" s="326"/>
      <c r="B280" s="310" t="s">
        <v>1239</v>
      </c>
      <c r="C280" s="303" t="s">
        <v>32</v>
      </c>
      <c r="D280" s="311" t="s">
        <v>1232</v>
      </c>
      <c r="E280" s="306">
        <v>13</v>
      </c>
      <c r="F280" s="306">
        <v>2</v>
      </c>
      <c r="G280" s="865">
        <v>89.7</v>
      </c>
      <c r="H280" s="430">
        <v>26000</v>
      </c>
      <c r="I280" s="332">
        <f>4004+34996</f>
        <v>39000</v>
      </c>
      <c r="J280" s="291">
        <f t="shared" si="48"/>
        <v>150</v>
      </c>
    </row>
    <row r="281" spans="1:10" ht="38.25" x14ac:dyDescent="0.2">
      <c r="A281" s="309"/>
      <c r="B281" s="323" t="s">
        <v>1242</v>
      </c>
      <c r="C281" s="303" t="s">
        <v>32</v>
      </c>
      <c r="D281" s="311" t="s">
        <v>1232</v>
      </c>
      <c r="E281" s="325">
        <v>13</v>
      </c>
      <c r="F281" s="325"/>
      <c r="G281" s="870"/>
      <c r="H281" s="439"/>
      <c r="I281" s="440"/>
      <c r="J281" s="503"/>
    </row>
    <row r="282" spans="1:10" ht="25.5" x14ac:dyDescent="0.2">
      <c r="A282" s="857"/>
      <c r="B282" s="307" t="s">
        <v>1328</v>
      </c>
      <c r="C282" s="303"/>
      <c r="D282" s="308"/>
      <c r="E282" s="314"/>
      <c r="F282" s="314"/>
      <c r="G282" s="866"/>
      <c r="H282" s="431">
        <f>SUM(H283:H284)</f>
        <v>112666.66</v>
      </c>
      <c r="I282" s="432">
        <f t="shared" ref="I282" si="50">SUM(I283:I284)</f>
        <v>23400</v>
      </c>
      <c r="J282" s="503">
        <f t="shared" si="48"/>
        <v>20.769231998179407</v>
      </c>
    </row>
    <row r="283" spans="1:10" ht="38.25" x14ac:dyDescent="0.2">
      <c r="A283" s="309"/>
      <c r="B283" s="310" t="s">
        <v>1239</v>
      </c>
      <c r="C283" s="303" t="s">
        <v>32</v>
      </c>
      <c r="D283" s="311" t="s">
        <v>1232</v>
      </c>
      <c r="E283" s="306">
        <v>13</v>
      </c>
      <c r="F283" s="306">
        <v>2</v>
      </c>
      <c r="G283" s="865">
        <v>60</v>
      </c>
      <c r="H283" s="430">
        <v>26000</v>
      </c>
      <c r="I283" s="332">
        <v>23400</v>
      </c>
      <c r="J283" s="291">
        <f t="shared" si="48"/>
        <v>90</v>
      </c>
    </row>
    <row r="284" spans="1:10" ht="38.25" customHeight="1" x14ac:dyDescent="0.2">
      <c r="A284" s="309"/>
      <c r="B284" s="323" t="s">
        <v>1234</v>
      </c>
      <c r="C284" s="303" t="s">
        <v>32</v>
      </c>
      <c r="D284" s="311" t="s">
        <v>1232</v>
      </c>
      <c r="E284" s="325">
        <v>13</v>
      </c>
      <c r="F284" s="325"/>
      <c r="G284" s="870"/>
      <c r="H284" s="439">
        <v>86666.66</v>
      </c>
      <c r="I284" s="440"/>
      <c r="J284" s="503">
        <f t="shared" si="48"/>
        <v>0</v>
      </c>
    </row>
    <row r="285" spans="1:10" ht="17.25" customHeight="1" x14ac:dyDescent="0.2">
      <c r="A285" s="857"/>
      <c r="B285" s="307" t="s">
        <v>1329</v>
      </c>
      <c r="C285" s="303"/>
      <c r="D285" s="308"/>
      <c r="E285" s="314"/>
      <c r="F285" s="314"/>
      <c r="G285" s="866"/>
      <c r="H285" s="431">
        <f>SUM(H286:H288)</f>
        <v>104608</v>
      </c>
      <c r="I285" s="432">
        <f t="shared" ref="I285" si="51">SUM(I286:I288)</f>
        <v>55830</v>
      </c>
      <c r="J285" s="503">
        <f t="shared" si="48"/>
        <v>53.370679106760477</v>
      </c>
    </row>
    <row r="286" spans="1:10" ht="25.5" x14ac:dyDescent="0.2">
      <c r="A286" s="309"/>
      <c r="B286" s="310" t="s">
        <v>1243</v>
      </c>
      <c r="C286" s="303" t="s">
        <v>32</v>
      </c>
      <c r="D286" s="311" t="s">
        <v>1176</v>
      </c>
      <c r="E286" s="306">
        <v>13</v>
      </c>
      <c r="F286" s="306"/>
      <c r="G286" s="865"/>
      <c r="H286" s="430">
        <v>48608</v>
      </c>
      <c r="I286" s="332">
        <f>26258+3572</f>
        <v>29830</v>
      </c>
      <c r="J286" s="291">
        <f t="shared" si="48"/>
        <v>61.368499012508224</v>
      </c>
    </row>
    <row r="287" spans="1:10" ht="25.5" x14ac:dyDescent="0.2">
      <c r="A287" s="309"/>
      <c r="B287" s="310" t="s">
        <v>1239</v>
      </c>
      <c r="C287" s="303" t="s">
        <v>32</v>
      </c>
      <c r="D287" s="311" t="s">
        <v>1244</v>
      </c>
      <c r="E287" s="306">
        <v>13</v>
      </c>
      <c r="F287" s="306">
        <v>13</v>
      </c>
      <c r="G287" s="865">
        <v>100</v>
      </c>
      <c r="H287" s="430">
        <v>26000</v>
      </c>
      <c r="I287" s="332">
        <f>4004+21996</f>
        <v>26000</v>
      </c>
      <c r="J287" s="291">
        <f t="shared" si="48"/>
        <v>100</v>
      </c>
    </row>
    <row r="288" spans="1:10" ht="17.25" customHeight="1" x14ac:dyDescent="0.2">
      <c r="A288" s="309"/>
      <c r="B288" s="323" t="s">
        <v>1234</v>
      </c>
      <c r="C288" s="303" t="s">
        <v>32</v>
      </c>
      <c r="D288" s="324" t="s">
        <v>414</v>
      </c>
      <c r="E288" s="325">
        <v>13</v>
      </c>
      <c r="F288" s="325"/>
      <c r="G288" s="870"/>
      <c r="H288" s="439">
        <v>30000</v>
      </c>
      <c r="I288" s="440"/>
      <c r="J288" s="503">
        <f t="shared" si="48"/>
        <v>0</v>
      </c>
    </row>
    <row r="289" spans="1:10" ht="29.25" customHeight="1" x14ac:dyDescent="0.2">
      <c r="A289" s="857"/>
      <c r="B289" s="307" t="s">
        <v>1330</v>
      </c>
      <c r="C289" s="303"/>
      <c r="D289" s="308"/>
      <c r="E289" s="314"/>
      <c r="F289" s="314"/>
      <c r="G289" s="866">
        <v>0</v>
      </c>
      <c r="H289" s="431">
        <f>SUM(H290:H292)</f>
        <v>0</v>
      </c>
      <c r="I289" s="432">
        <f t="shared" ref="I289" si="52">SUM(I290:I292)</f>
        <v>0</v>
      </c>
      <c r="J289" s="503">
        <v>0</v>
      </c>
    </row>
    <row r="290" spans="1:10" ht="25.5" x14ac:dyDescent="0.2">
      <c r="A290" s="309"/>
      <c r="B290" s="310" t="s">
        <v>1245</v>
      </c>
      <c r="C290" s="303" t="s">
        <v>32</v>
      </c>
      <c r="D290" s="311" t="s">
        <v>1176</v>
      </c>
      <c r="E290" s="306"/>
      <c r="F290" s="306"/>
      <c r="G290" s="865">
        <v>0</v>
      </c>
      <c r="H290" s="430"/>
      <c r="I290" s="332"/>
      <c r="J290" s="503">
        <v>0</v>
      </c>
    </row>
    <row r="291" spans="1:10" ht="25.5" x14ac:dyDescent="0.2">
      <c r="A291" s="309"/>
      <c r="B291" s="310" t="s">
        <v>1246</v>
      </c>
      <c r="C291" s="303" t="s">
        <v>32</v>
      </c>
      <c r="D291" s="311" t="s">
        <v>1244</v>
      </c>
      <c r="E291" s="306"/>
      <c r="F291" s="306"/>
      <c r="G291" s="865">
        <v>0</v>
      </c>
      <c r="H291" s="430"/>
      <c r="I291" s="332"/>
      <c r="J291" s="503">
        <v>0</v>
      </c>
    </row>
    <row r="292" spans="1:10" ht="17.25" customHeight="1" x14ac:dyDescent="0.2">
      <c r="A292" s="309"/>
      <c r="B292" s="323" t="s">
        <v>1234</v>
      </c>
      <c r="C292" s="303" t="s">
        <v>32</v>
      </c>
      <c r="D292" s="324" t="s">
        <v>414</v>
      </c>
      <c r="E292" s="325"/>
      <c r="F292" s="325"/>
      <c r="G292" s="870">
        <v>0</v>
      </c>
      <c r="H292" s="439"/>
      <c r="I292" s="440"/>
      <c r="J292" s="503">
        <v>0</v>
      </c>
    </row>
    <row r="293" spans="1:10" ht="20.25" customHeight="1" x14ac:dyDescent="0.2">
      <c r="A293" s="857"/>
      <c r="B293" s="307" t="s">
        <v>1331</v>
      </c>
      <c r="C293" s="303"/>
      <c r="D293" s="308"/>
      <c r="E293" s="314"/>
      <c r="F293" s="314"/>
      <c r="G293" s="866"/>
      <c r="H293" s="431">
        <f>SUM(H294:H295)</f>
        <v>28000</v>
      </c>
      <c r="I293" s="432">
        <f t="shared" ref="I293" si="53">SUM(I294:I295)</f>
        <v>13999.05</v>
      </c>
      <c r="J293" s="503">
        <f t="shared" ref="J293:J298" si="54">+I293/H293*100</f>
        <v>49.996607142857144</v>
      </c>
    </row>
    <row r="294" spans="1:10" ht="27.75" customHeight="1" x14ac:dyDescent="0.2">
      <c r="A294" s="309"/>
      <c r="B294" s="310" t="s">
        <v>1247</v>
      </c>
      <c r="C294" s="303" t="s">
        <v>32</v>
      </c>
      <c r="D294" s="311" t="s">
        <v>99</v>
      </c>
      <c r="E294" s="306">
        <v>3</v>
      </c>
      <c r="F294" s="306">
        <v>1</v>
      </c>
      <c r="G294" s="865">
        <f>+F294/E294*100</f>
        <v>33.333333333333329</v>
      </c>
      <c r="H294" s="430">
        <v>15000</v>
      </c>
      <c r="I294" s="332">
        <v>1000</v>
      </c>
      <c r="J294" s="291">
        <f t="shared" si="54"/>
        <v>6.666666666666667</v>
      </c>
    </row>
    <row r="295" spans="1:10" ht="27.75" customHeight="1" x14ac:dyDescent="0.2">
      <c r="A295" s="309"/>
      <c r="B295" s="310" t="s">
        <v>1248</v>
      </c>
      <c r="C295" s="303" t="s">
        <v>32</v>
      </c>
      <c r="D295" s="311" t="s">
        <v>414</v>
      </c>
      <c r="E295" s="306">
        <v>8</v>
      </c>
      <c r="F295" s="306">
        <v>13</v>
      </c>
      <c r="G295" s="865">
        <f>+F295/E295*100</f>
        <v>162.5</v>
      </c>
      <c r="H295" s="430">
        <v>13000</v>
      </c>
      <c r="I295" s="332">
        <v>12999.05</v>
      </c>
      <c r="J295" s="291">
        <f t="shared" si="54"/>
        <v>99.992692307692295</v>
      </c>
    </row>
    <row r="296" spans="1:10" ht="16.5" customHeight="1" x14ac:dyDescent="0.2">
      <c r="A296" s="857"/>
      <c r="B296" s="858" t="s">
        <v>1332</v>
      </c>
      <c r="C296" s="303" t="s">
        <v>32</v>
      </c>
      <c r="D296" s="327"/>
      <c r="E296" s="328"/>
      <c r="F296" s="328"/>
      <c r="G296" s="871"/>
      <c r="H296" s="441">
        <f t="shared" ref="H296:I296" si="55">SUM(H297)</f>
        <v>150000</v>
      </c>
      <c r="I296" s="343">
        <f t="shared" si="55"/>
        <v>100000</v>
      </c>
      <c r="J296" s="503">
        <f t="shared" si="54"/>
        <v>66.666666666666657</v>
      </c>
    </row>
    <row r="297" spans="1:10" ht="25.5" x14ac:dyDescent="0.2">
      <c r="A297" s="309"/>
      <c r="B297" s="310" t="s">
        <v>1249</v>
      </c>
      <c r="C297" s="303" t="s">
        <v>32</v>
      </c>
      <c r="D297" s="311" t="s">
        <v>274</v>
      </c>
      <c r="E297" s="306">
        <v>13</v>
      </c>
      <c r="F297" s="306">
        <v>13</v>
      </c>
      <c r="G297" s="865">
        <f>+F297/E297*100</f>
        <v>100</v>
      </c>
      <c r="H297" s="430">
        <v>150000</v>
      </c>
      <c r="I297" s="332">
        <f>48000+26000+26000</f>
        <v>100000</v>
      </c>
      <c r="J297" s="291">
        <f t="shared" si="54"/>
        <v>66.666666666666657</v>
      </c>
    </row>
    <row r="298" spans="1:10" ht="18" customHeight="1" x14ac:dyDescent="0.2">
      <c r="A298" s="2398" t="s">
        <v>1250</v>
      </c>
      <c r="B298" s="2398"/>
      <c r="C298" s="303" t="s">
        <v>32</v>
      </c>
      <c r="D298" s="329"/>
      <c r="E298" s="330">
        <f>SUM(E169,E185,E192,E212,E263)</f>
        <v>0</v>
      </c>
      <c r="F298" s="330"/>
      <c r="G298" s="872"/>
      <c r="H298" s="340">
        <f>SUM(H169,H185,H192,H212,H263)</f>
        <v>2993735.5</v>
      </c>
      <c r="I298" s="502">
        <f>SUM(I169,I185,I192,I212,I263)</f>
        <v>680317.91999999993</v>
      </c>
      <c r="J298" s="503">
        <f t="shared" si="54"/>
        <v>22.724716996541609</v>
      </c>
    </row>
    <row r="299" spans="1:10" ht="18.75" customHeight="1" x14ac:dyDescent="0.2">
      <c r="A299" s="2398" t="s">
        <v>706</v>
      </c>
      <c r="B299" s="2398"/>
      <c r="C299" s="303"/>
      <c r="D299" s="329"/>
      <c r="E299" s="427"/>
      <c r="F299" s="873"/>
      <c r="G299" s="873"/>
      <c r="H299" s="336">
        <f>SUM(H300)</f>
        <v>20000</v>
      </c>
      <c r="I299" s="511">
        <f>SUM(I300)</f>
        <v>0</v>
      </c>
      <c r="J299" s="503">
        <f>+I299/H299*100</f>
        <v>0</v>
      </c>
    </row>
    <row r="300" spans="1:10" ht="18" customHeight="1" x14ac:dyDescent="0.2">
      <c r="A300" s="857"/>
      <c r="B300" s="310" t="s">
        <v>1187</v>
      </c>
      <c r="C300" s="303" t="s">
        <v>32</v>
      </c>
      <c r="D300" s="311" t="s">
        <v>1176</v>
      </c>
      <c r="E300" s="331">
        <v>1</v>
      </c>
      <c r="F300" s="331"/>
      <c r="G300" s="331"/>
      <c r="H300" s="338">
        <v>20000</v>
      </c>
      <c r="I300" s="512"/>
      <c r="J300" s="503">
        <f t="shared" ref="J300:J304" si="56">+I300/H300*100</f>
        <v>0</v>
      </c>
    </row>
    <row r="301" spans="1:10" ht="15" customHeight="1" x14ac:dyDescent="0.2">
      <c r="A301" s="2398" t="s">
        <v>1251</v>
      </c>
      <c r="B301" s="2398"/>
      <c r="C301" s="303"/>
      <c r="D301" s="329"/>
      <c r="E301" s="427"/>
      <c r="F301" s="495"/>
      <c r="G301" s="495"/>
      <c r="H301" s="336">
        <f>SUM(H302:H305)</f>
        <v>22524.949500000002</v>
      </c>
      <c r="I301" s="502">
        <f>SUM(I302:I305)</f>
        <v>980</v>
      </c>
      <c r="J301" s="503">
        <f>+I301/H301*100</f>
        <v>4.350731174780214</v>
      </c>
    </row>
    <row r="302" spans="1:10" ht="17.25" customHeight="1" x14ac:dyDescent="0.2">
      <c r="A302" s="894"/>
      <c r="B302" s="310" t="s">
        <v>1252</v>
      </c>
      <c r="C302" s="303" t="s">
        <v>32</v>
      </c>
      <c r="D302" s="311" t="s">
        <v>1253</v>
      </c>
      <c r="E302" s="331">
        <v>1</v>
      </c>
      <c r="F302" s="331"/>
      <c r="G302" s="331"/>
      <c r="H302" s="338">
        <f>15.15*833.33</f>
        <v>12624.949500000001</v>
      </c>
      <c r="I302" s="512"/>
      <c r="J302" s="503">
        <f t="shared" si="56"/>
        <v>0</v>
      </c>
    </row>
    <row r="303" spans="1:10" ht="15.75" customHeight="1" x14ac:dyDescent="0.2">
      <c r="A303" s="894"/>
      <c r="B303" s="310" t="s">
        <v>1254</v>
      </c>
      <c r="C303" s="303" t="s">
        <v>32</v>
      </c>
      <c r="D303" s="311" t="s">
        <v>413</v>
      </c>
      <c r="E303" s="335">
        <v>12</v>
      </c>
      <c r="F303" s="333"/>
      <c r="G303" s="333"/>
      <c r="H303" s="338">
        <f>12*700</f>
        <v>8400</v>
      </c>
      <c r="I303" s="512">
        <f>210+280</f>
        <v>490</v>
      </c>
      <c r="J303" s="291">
        <f t="shared" si="56"/>
        <v>5.833333333333333</v>
      </c>
    </row>
    <row r="304" spans="1:10" ht="17.25" customHeight="1" x14ac:dyDescent="0.2">
      <c r="A304" s="894"/>
      <c r="B304" s="310" t="s">
        <v>1255</v>
      </c>
      <c r="C304" s="303" t="s">
        <v>32</v>
      </c>
      <c r="D304" s="311" t="s">
        <v>721</v>
      </c>
      <c r="E304" s="335">
        <v>1</v>
      </c>
      <c r="F304" s="334"/>
      <c r="G304" s="334"/>
      <c r="H304" s="338">
        <v>1500</v>
      </c>
      <c r="I304" s="512">
        <v>490</v>
      </c>
      <c r="J304" s="291">
        <f t="shared" si="56"/>
        <v>32.666666666666664</v>
      </c>
    </row>
    <row r="305" spans="1:10" ht="16.5" customHeight="1" x14ac:dyDescent="0.2">
      <c r="A305" s="894"/>
      <c r="B305" s="310" t="s">
        <v>1256</v>
      </c>
      <c r="C305" s="303" t="s">
        <v>32</v>
      </c>
      <c r="D305" s="311" t="s">
        <v>1176</v>
      </c>
      <c r="E305" s="335"/>
      <c r="F305" s="335"/>
      <c r="G305" s="335"/>
      <c r="H305" s="338"/>
      <c r="I305" s="512"/>
      <c r="J305" s="503">
        <v>0</v>
      </c>
    </row>
    <row r="306" spans="1:10" ht="15" customHeight="1" x14ac:dyDescent="0.2">
      <c r="A306" s="2399" t="s">
        <v>1257</v>
      </c>
      <c r="B306" s="2399"/>
      <c r="C306" s="303"/>
      <c r="D306" s="329"/>
      <c r="E306" s="427"/>
      <c r="F306" s="495"/>
      <c r="G306" s="359"/>
      <c r="H306" s="336">
        <f>+H307+H331+H335+H337</f>
        <v>354136.62</v>
      </c>
      <c r="I306" s="502">
        <f t="shared" ref="I306" si="57">SUM(I307,I331,I335,I337)</f>
        <v>106101.47</v>
      </c>
      <c r="J306" s="503">
        <f>+I306/H306*100</f>
        <v>29.960603904786804</v>
      </c>
    </row>
    <row r="307" spans="1:10" ht="16.5" customHeight="1" x14ac:dyDescent="0.2">
      <c r="A307" s="2398" t="s">
        <v>1258</v>
      </c>
      <c r="B307" s="2398"/>
      <c r="C307" s="303" t="s">
        <v>32</v>
      </c>
      <c r="D307" s="329"/>
      <c r="E307" s="427"/>
      <c r="F307" s="495"/>
      <c r="G307" s="495"/>
      <c r="H307" s="336">
        <f>SUM(H308:H330)</f>
        <v>248621.3</v>
      </c>
      <c r="I307" s="502">
        <f>SUM(I308:I330)</f>
        <v>101059.76</v>
      </c>
      <c r="J307" s="503">
        <f>+I307/H307*100</f>
        <v>40.648069976305329</v>
      </c>
    </row>
    <row r="308" spans="1:10" ht="15.75" customHeight="1" x14ac:dyDescent="0.2">
      <c r="A308" s="857"/>
      <c r="B308" s="310" t="s">
        <v>1259</v>
      </c>
      <c r="C308" s="303" t="s">
        <v>32</v>
      </c>
      <c r="D308" s="311" t="s">
        <v>274</v>
      </c>
      <c r="E308" s="331">
        <v>12</v>
      </c>
      <c r="F308" s="331">
        <v>4</v>
      </c>
      <c r="G308" s="334">
        <f>+F308/E308*100</f>
        <v>33.333333333333329</v>
      </c>
      <c r="H308" s="338">
        <v>52000</v>
      </c>
      <c r="I308" s="512">
        <f>12000+6000+6000</f>
        <v>24000</v>
      </c>
      <c r="J308" s="291">
        <f t="shared" ref="J308:J318" si="58">+I308/H308*100</f>
        <v>46.153846153846153</v>
      </c>
    </row>
    <row r="309" spans="1:10" ht="16.5" customHeight="1" x14ac:dyDescent="0.2">
      <c r="A309" s="857"/>
      <c r="B309" s="310" t="s">
        <v>1260</v>
      </c>
      <c r="C309" s="303" t="s">
        <v>32</v>
      </c>
      <c r="D309" s="311" t="s">
        <v>274</v>
      </c>
      <c r="E309" s="331">
        <v>12</v>
      </c>
      <c r="F309" s="331">
        <v>4</v>
      </c>
      <c r="G309" s="334">
        <f t="shared" ref="G309:G315" si="59">+F309/E309*100</f>
        <v>33.333333333333329</v>
      </c>
      <c r="H309" s="338">
        <v>34000</v>
      </c>
      <c r="I309" s="512">
        <f>9000+4500+4500</f>
        <v>18000</v>
      </c>
      <c r="J309" s="291">
        <f t="shared" si="58"/>
        <v>52.941176470588239</v>
      </c>
    </row>
    <row r="310" spans="1:10" ht="16.5" customHeight="1" x14ac:dyDescent="0.2">
      <c r="A310" s="857"/>
      <c r="B310" s="310" t="s">
        <v>1261</v>
      </c>
      <c r="C310" s="303" t="s">
        <v>32</v>
      </c>
      <c r="D310" s="311" t="s">
        <v>274</v>
      </c>
      <c r="E310" s="331">
        <v>12</v>
      </c>
      <c r="F310" s="331">
        <v>4</v>
      </c>
      <c r="G310" s="334">
        <f t="shared" si="59"/>
        <v>33.333333333333329</v>
      </c>
      <c r="H310" s="338">
        <v>34000</v>
      </c>
      <c r="I310" s="512">
        <f>4444.44*2+4444.44+4444.44</f>
        <v>17777.759999999998</v>
      </c>
      <c r="J310" s="291">
        <f t="shared" si="58"/>
        <v>52.287529411764702</v>
      </c>
    </row>
    <row r="311" spans="1:10" x14ac:dyDescent="0.2">
      <c r="A311" s="857"/>
      <c r="B311" s="310" t="s">
        <v>1262</v>
      </c>
      <c r="C311" s="303" t="s">
        <v>32</v>
      </c>
      <c r="D311" s="311" t="s">
        <v>274</v>
      </c>
      <c r="E311" s="331">
        <v>12</v>
      </c>
      <c r="F311" s="331">
        <v>4</v>
      </c>
      <c r="G311" s="334">
        <f t="shared" si="59"/>
        <v>33.333333333333329</v>
      </c>
      <c r="H311" s="338">
        <v>34000</v>
      </c>
      <c r="I311" s="512">
        <f>9000+4500+4500</f>
        <v>18000</v>
      </c>
      <c r="J311" s="291">
        <f t="shared" si="58"/>
        <v>52.941176470588239</v>
      </c>
    </row>
    <row r="312" spans="1:10" ht="15.75" customHeight="1" x14ac:dyDescent="0.2">
      <c r="A312" s="857"/>
      <c r="B312" s="310" t="s">
        <v>1263</v>
      </c>
      <c r="C312" s="303" t="s">
        <v>32</v>
      </c>
      <c r="D312" s="311" t="s">
        <v>274</v>
      </c>
      <c r="E312" s="331">
        <v>12</v>
      </c>
      <c r="F312" s="331">
        <v>4</v>
      </c>
      <c r="G312" s="334">
        <f t="shared" si="59"/>
        <v>33.333333333333329</v>
      </c>
      <c r="H312" s="338">
        <v>34000</v>
      </c>
      <c r="I312" s="512">
        <f>5000+2500+2500</f>
        <v>10000</v>
      </c>
      <c r="J312" s="291">
        <f t="shared" si="58"/>
        <v>29.411764705882355</v>
      </c>
    </row>
    <row r="313" spans="1:10" ht="16.5" customHeight="1" x14ac:dyDescent="0.2">
      <c r="A313" s="857"/>
      <c r="B313" s="310" t="s">
        <v>1264</v>
      </c>
      <c r="C313" s="303" t="s">
        <v>32</v>
      </c>
      <c r="D313" s="311" t="s">
        <v>274</v>
      </c>
      <c r="E313" s="331">
        <v>12</v>
      </c>
      <c r="F313" s="331">
        <v>4</v>
      </c>
      <c r="G313" s="334">
        <f t="shared" si="59"/>
        <v>33.333333333333329</v>
      </c>
      <c r="H313" s="338">
        <v>19600</v>
      </c>
      <c r="I313" s="512">
        <v>800</v>
      </c>
      <c r="J313" s="291">
        <f t="shared" si="58"/>
        <v>4.0816326530612246</v>
      </c>
    </row>
    <row r="314" spans="1:10" ht="16.5" customHeight="1" x14ac:dyDescent="0.2">
      <c r="A314" s="857"/>
      <c r="B314" s="310" t="s">
        <v>1427</v>
      </c>
      <c r="C314" s="303" t="s">
        <v>32</v>
      </c>
      <c r="D314" s="311" t="s">
        <v>1253</v>
      </c>
      <c r="E314" s="341">
        <v>1321.3330000000001</v>
      </c>
      <c r="F314" s="331"/>
      <c r="G314" s="334"/>
      <c r="H314" s="338">
        <v>12503</v>
      </c>
      <c r="I314" s="512"/>
      <c r="J314" s="291">
        <f t="shared" si="58"/>
        <v>0</v>
      </c>
    </row>
    <row r="315" spans="1:10" ht="15.75" customHeight="1" x14ac:dyDescent="0.2">
      <c r="A315" s="857"/>
      <c r="B315" s="310" t="s">
        <v>1265</v>
      </c>
      <c r="C315" s="303" t="s">
        <v>32</v>
      </c>
      <c r="D315" s="311" t="s">
        <v>413</v>
      </c>
      <c r="E315" s="331">
        <v>12</v>
      </c>
      <c r="F315" s="331">
        <v>5.6</v>
      </c>
      <c r="G315" s="334">
        <f t="shared" si="59"/>
        <v>46.666666666666664</v>
      </c>
      <c r="H315" s="338">
        <v>21000</v>
      </c>
      <c r="I315" s="512">
        <f>3894+5140+448</f>
        <v>9482</v>
      </c>
      <c r="J315" s="291">
        <f t="shared" si="58"/>
        <v>45.152380952380952</v>
      </c>
    </row>
    <row r="316" spans="1:10" ht="16.5" customHeight="1" x14ac:dyDescent="0.2">
      <c r="A316" s="857"/>
      <c r="B316" s="310" t="s">
        <v>1266</v>
      </c>
      <c r="C316" s="303" t="s">
        <v>32</v>
      </c>
      <c r="D316" s="311" t="s">
        <v>708</v>
      </c>
      <c r="E316" s="331">
        <v>1</v>
      </c>
      <c r="F316" s="331"/>
      <c r="G316" s="334"/>
      <c r="H316" s="338">
        <v>500</v>
      </c>
      <c r="I316" s="512"/>
      <c r="J316" s="291">
        <f t="shared" si="58"/>
        <v>0</v>
      </c>
    </row>
    <row r="317" spans="1:10" ht="16.5" customHeight="1" x14ac:dyDescent="0.2">
      <c r="A317" s="857"/>
      <c r="B317" s="310" t="s">
        <v>1267</v>
      </c>
      <c r="C317" s="303" t="s">
        <v>32</v>
      </c>
      <c r="D317" s="311" t="s">
        <v>1268</v>
      </c>
      <c r="E317" s="331">
        <v>1</v>
      </c>
      <c r="F317" s="331"/>
      <c r="G317" s="334"/>
      <c r="H317" s="338">
        <v>1000</v>
      </c>
      <c r="I317" s="512"/>
      <c r="J317" s="291">
        <f t="shared" si="58"/>
        <v>0</v>
      </c>
    </row>
    <row r="318" spans="1:10" ht="16.5" customHeight="1" x14ac:dyDescent="0.2">
      <c r="A318" s="857"/>
      <c r="B318" s="310" t="s">
        <v>1269</v>
      </c>
      <c r="C318" s="303" t="s">
        <v>32</v>
      </c>
      <c r="D318" s="311" t="s">
        <v>1270</v>
      </c>
      <c r="E318" s="331">
        <v>2</v>
      </c>
      <c r="F318" s="331"/>
      <c r="G318" s="334"/>
      <c r="H318" s="338">
        <v>1100</v>
      </c>
      <c r="I318" s="512"/>
      <c r="J318" s="291">
        <f t="shared" si="58"/>
        <v>0</v>
      </c>
    </row>
    <row r="319" spans="1:10" ht="15.75" customHeight="1" x14ac:dyDescent="0.2">
      <c r="A319" s="857"/>
      <c r="B319" s="310" t="s">
        <v>1271</v>
      </c>
      <c r="C319" s="303" t="s">
        <v>32</v>
      </c>
      <c r="D319" s="311" t="s">
        <v>99</v>
      </c>
      <c r="E319" s="331">
        <v>0</v>
      </c>
      <c r="F319" s="331"/>
      <c r="G319" s="334"/>
      <c r="H319" s="338">
        <v>0</v>
      </c>
      <c r="I319" s="512"/>
      <c r="J319" s="291">
        <v>0</v>
      </c>
    </row>
    <row r="320" spans="1:10" ht="16.5" customHeight="1" x14ac:dyDescent="0.2">
      <c r="A320" s="857"/>
      <c r="B320" s="310" t="s">
        <v>1272</v>
      </c>
      <c r="C320" s="303" t="s">
        <v>32</v>
      </c>
      <c r="D320" s="311" t="s">
        <v>99</v>
      </c>
      <c r="E320" s="331">
        <v>2</v>
      </c>
      <c r="F320" s="331"/>
      <c r="G320" s="334"/>
      <c r="H320" s="338">
        <v>890</v>
      </c>
      <c r="I320" s="512"/>
      <c r="J320" s="503">
        <f>+I320/H320*100</f>
        <v>0</v>
      </c>
    </row>
    <row r="321" spans="1:10" ht="16.5" customHeight="1" x14ac:dyDescent="0.2">
      <c r="A321" s="857"/>
      <c r="B321" s="310" t="s">
        <v>1273</v>
      </c>
      <c r="C321" s="303" t="s">
        <v>32</v>
      </c>
      <c r="D321" s="311" t="s">
        <v>99</v>
      </c>
      <c r="E321" s="331"/>
      <c r="F321" s="331"/>
      <c r="G321" s="334"/>
      <c r="H321" s="338">
        <v>0</v>
      </c>
      <c r="I321" s="512"/>
      <c r="J321" s="503">
        <v>0</v>
      </c>
    </row>
    <row r="322" spans="1:10" ht="16.5" customHeight="1" x14ac:dyDescent="0.2">
      <c r="A322" s="857"/>
      <c r="B322" s="310" t="s">
        <v>1274</v>
      </c>
      <c r="C322" s="303" t="s">
        <v>32</v>
      </c>
      <c r="D322" s="311" t="s">
        <v>99</v>
      </c>
      <c r="E322" s="331"/>
      <c r="F322" s="331"/>
      <c r="G322" s="334"/>
      <c r="H322" s="338">
        <v>0</v>
      </c>
      <c r="I322" s="512"/>
      <c r="J322" s="503">
        <v>0</v>
      </c>
    </row>
    <row r="323" spans="1:10" ht="16.5" customHeight="1" x14ac:dyDescent="0.2">
      <c r="A323" s="857"/>
      <c r="B323" s="310" t="s">
        <v>1275</v>
      </c>
      <c r="C323" s="303" t="s">
        <v>32</v>
      </c>
      <c r="D323" s="311" t="s">
        <v>99</v>
      </c>
      <c r="E323" s="331"/>
      <c r="F323" s="331"/>
      <c r="G323" s="334"/>
      <c r="H323" s="338"/>
      <c r="I323" s="512"/>
      <c r="J323" s="503">
        <v>0</v>
      </c>
    </row>
    <row r="324" spans="1:10" ht="15.75" customHeight="1" x14ac:dyDescent="0.2">
      <c r="A324" s="857"/>
      <c r="B324" s="310" t="s">
        <v>1276</v>
      </c>
      <c r="C324" s="303" t="s">
        <v>32</v>
      </c>
      <c r="D324" s="311" t="s">
        <v>99</v>
      </c>
      <c r="E324" s="331">
        <v>1</v>
      </c>
      <c r="F324" s="331">
        <v>1</v>
      </c>
      <c r="G324" s="334">
        <f t="shared" ref="G324" si="60">+F324/E324*100</f>
        <v>100</v>
      </c>
      <c r="H324" s="338">
        <v>2500</v>
      </c>
      <c r="I324" s="512">
        <v>2500</v>
      </c>
      <c r="J324" s="291">
        <f>+I324/H324*100</f>
        <v>100</v>
      </c>
    </row>
    <row r="325" spans="1:10" ht="15.75" customHeight="1" x14ac:dyDescent="0.2">
      <c r="A325" s="857"/>
      <c r="B325" s="310" t="s">
        <v>1277</v>
      </c>
      <c r="C325" s="303" t="s">
        <v>32</v>
      </c>
      <c r="D325" s="311" t="s">
        <v>99</v>
      </c>
      <c r="E325" s="331">
        <v>1</v>
      </c>
      <c r="F325" s="331"/>
      <c r="G325" s="334"/>
      <c r="H325" s="338">
        <v>240</v>
      </c>
      <c r="I325" s="512"/>
      <c r="J325" s="291">
        <f>+I325/H325*100</f>
        <v>0</v>
      </c>
    </row>
    <row r="326" spans="1:10" ht="16.5" customHeight="1" x14ac:dyDescent="0.2">
      <c r="A326" s="857"/>
      <c r="B326" s="337" t="s">
        <v>595</v>
      </c>
      <c r="C326" s="303" t="s">
        <v>32</v>
      </c>
      <c r="D326" s="311" t="s">
        <v>99</v>
      </c>
      <c r="E326" s="331">
        <v>1</v>
      </c>
      <c r="F326" s="331">
        <v>0.5</v>
      </c>
      <c r="G326" s="334">
        <f t="shared" ref="G326:G327" si="61">+F326/E326*100</f>
        <v>50</v>
      </c>
      <c r="H326" s="339">
        <v>240</v>
      </c>
      <c r="I326" s="512">
        <v>50</v>
      </c>
      <c r="J326" s="291">
        <f>+I326/H326*100</f>
        <v>20.833333333333336</v>
      </c>
    </row>
    <row r="327" spans="1:10" ht="16.5" customHeight="1" x14ac:dyDescent="0.2">
      <c r="A327" s="857"/>
      <c r="B327" s="337" t="s">
        <v>1278</v>
      </c>
      <c r="C327" s="303" t="s">
        <v>32</v>
      </c>
      <c r="D327" s="303" t="s">
        <v>1279</v>
      </c>
      <c r="E327" s="331">
        <v>1</v>
      </c>
      <c r="F327" s="331">
        <v>0.8</v>
      </c>
      <c r="G327" s="334">
        <f t="shared" si="61"/>
        <v>80</v>
      </c>
      <c r="H327" s="339">
        <v>300</v>
      </c>
      <c r="I327" s="512">
        <v>250</v>
      </c>
      <c r="J327" s="291">
        <f>+I327/H327*100</f>
        <v>83.333333333333343</v>
      </c>
    </row>
    <row r="328" spans="1:10" ht="16.5" customHeight="1" x14ac:dyDescent="0.2">
      <c r="A328" s="857"/>
      <c r="B328" s="337" t="s">
        <v>1280</v>
      </c>
      <c r="C328" s="303" t="s">
        <v>32</v>
      </c>
      <c r="D328" s="303" t="s">
        <v>1190</v>
      </c>
      <c r="E328" s="331"/>
      <c r="F328" s="331"/>
      <c r="G328" s="334"/>
      <c r="H328" s="339"/>
      <c r="I328" s="512"/>
      <c r="J328" s="291">
        <v>0</v>
      </c>
    </row>
    <row r="329" spans="1:10" ht="15.75" customHeight="1" x14ac:dyDescent="0.2">
      <c r="A329" s="857"/>
      <c r="B329" s="337" t="s">
        <v>1281</v>
      </c>
      <c r="C329" s="303" t="s">
        <v>32</v>
      </c>
      <c r="D329" s="303" t="s">
        <v>99</v>
      </c>
      <c r="E329" s="331"/>
      <c r="F329" s="331"/>
      <c r="G329" s="334"/>
      <c r="H329" s="339"/>
      <c r="I329" s="512"/>
      <c r="J329" s="291">
        <v>0</v>
      </c>
    </row>
    <row r="330" spans="1:10" ht="16.5" customHeight="1" x14ac:dyDescent="0.2">
      <c r="A330" s="857"/>
      <c r="B330" s="337" t="s">
        <v>1282</v>
      </c>
      <c r="C330" s="303" t="s">
        <v>32</v>
      </c>
      <c r="D330" s="303" t="s">
        <v>414</v>
      </c>
      <c r="E330" s="331">
        <v>1</v>
      </c>
      <c r="F330" s="331">
        <v>0.2</v>
      </c>
      <c r="G330" s="334">
        <f t="shared" ref="G330" si="62">+F330/E330*100</f>
        <v>20</v>
      </c>
      <c r="H330" s="339">
        <v>748.3</v>
      </c>
      <c r="I330" s="512">
        <v>200</v>
      </c>
      <c r="J330" s="291">
        <f t="shared" ref="J330:J339" si="63">+I330/H330*100</f>
        <v>26.727248429774157</v>
      </c>
    </row>
    <row r="331" spans="1:10" ht="18" customHeight="1" x14ac:dyDescent="0.2">
      <c r="A331" s="2398" t="s">
        <v>1283</v>
      </c>
      <c r="B331" s="2398"/>
      <c r="C331" s="303"/>
      <c r="D331" s="329"/>
      <c r="E331" s="26"/>
      <c r="F331" s="873"/>
      <c r="G331" s="892"/>
      <c r="H331" s="336">
        <f>SUM(H332:H334)</f>
        <v>16000</v>
      </c>
      <c r="I331" s="502">
        <f t="shared" ref="I331" si="64">SUM(I332:I334)</f>
        <v>3101.71</v>
      </c>
      <c r="J331" s="503">
        <f>+I331/H331*100</f>
        <v>19.3856875</v>
      </c>
    </row>
    <row r="332" spans="1:10" ht="15.75" customHeight="1" x14ac:dyDescent="0.2">
      <c r="A332" s="857"/>
      <c r="B332" s="310" t="s">
        <v>1427</v>
      </c>
      <c r="C332" s="303" t="s">
        <v>32</v>
      </c>
      <c r="D332" s="311" t="s">
        <v>1253</v>
      </c>
      <c r="E332" s="331">
        <v>500</v>
      </c>
      <c r="F332" s="331"/>
      <c r="G332" s="334"/>
      <c r="H332" s="338">
        <v>7575</v>
      </c>
      <c r="I332" s="512"/>
      <c r="J332" s="503">
        <f t="shared" si="63"/>
        <v>0</v>
      </c>
    </row>
    <row r="333" spans="1:10" ht="16.5" customHeight="1" x14ac:dyDescent="0.2">
      <c r="A333" s="857"/>
      <c r="B333" s="310" t="s">
        <v>1284</v>
      </c>
      <c r="C333" s="303" t="s">
        <v>32</v>
      </c>
      <c r="D333" s="311" t="s">
        <v>413</v>
      </c>
      <c r="E333" s="331">
        <v>12</v>
      </c>
      <c r="F333" s="334">
        <v>2.4</v>
      </c>
      <c r="G333" s="334">
        <f t="shared" ref="G333" si="65">+F333/E333*100</f>
        <v>20</v>
      </c>
      <c r="H333" s="338">
        <v>7200</v>
      </c>
      <c r="I333" s="512">
        <f>210+210+420+420+70</f>
        <v>1330</v>
      </c>
      <c r="J333" s="291">
        <f t="shared" si="63"/>
        <v>18.472222222222221</v>
      </c>
    </row>
    <row r="334" spans="1:10" ht="16.5" customHeight="1" x14ac:dyDescent="0.2">
      <c r="A334" s="857"/>
      <c r="B334" s="310" t="s">
        <v>1285</v>
      </c>
      <c r="C334" s="303" t="s">
        <v>32</v>
      </c>
      <c r="D334" s="311" t="s">
        <v>414</v>
      </c>
      <c r="E334" s="331">
        <v>1</v>
      </c>
      <c r="F334" s="331">
        <v>1</v>
      </c>
      <c r="G334" s="334">
        <f>+F334/E334*100</f>
        <v>100</v>
      </c>
      <c r="H334" s="338">
        <v>1225</v>
      </c>
      <c r="I334" s="512">
        <f>1161.21+610.5</f>
        <v>1771.71</v>
      </c>
      <c r="J334" s="291">
        <f t="shared" si="63"/>
        <v>144.62938775510204</v>
      </c>
    </row>
    <row r="335" spans="1:10" ht="18" customHeight="1" x14ac:dyDescent="0.2">
      <c r="A335" s="2398" t="s">
        <v>1286</v>
      </c>
      <c r="B335" s="2398"/>
      <c r="C335" s="303"/>
      <c r="D335" s="329"/>
      <c r="E335" s="427"/>
      <c r="F335" s="873"/>
      <c r="G335" s="892"/>
      <c r="H335" s="336">
        <f>SUM(H336)</f>
        <v>25859</v>
      </c>
      <c r="I335" s="501">
        <f t="shared" ref="I335" si="66">SUM(I336)</f>
        <v>0</v>
      </c>
      <c r="J335" s="503">
        <f>+I335/H335*100</f>
        <v>0</v>
      </c>
    </row>
    <row r="336" spans="1:10" x14ac:dyDescent="0.2">
      <c r="A336" s="309"/>
      <c r="B336" s="310" t="s">
        <v>1287</v>
      </c>
      <c r="C336" s="303" t="s">
        <v>32</v>
      </c>
      <c r="D336" s="311" t="s">
        <v>1176</v>
      </c>
      <c r="E336" s="331">
        <v>1</v>
      </c>
      <c r="F336" s="331"/>
      <c r="G336" s="334"/>
      <c r="H336" s="338">
        <v>25859</v>
      </c>
      <c r="I336" s="513"/>
      <c r="J336" s="503">
        <f t="shared" si="63"/>
        <v>0</v>
      </c>
    </row>
    <row r="337" spans="1:10" ht="15" x14ac:dyDescent="0.2">
      <c r="A337" s="2398" t="s">
        <v>1288</v>
      </c>
      <c r="B337" s="2398"/>
      <c r="C337" s="303"/>
      <c r="D337" s="329"/>
      <c r="E337" s="26"/>
      <c r="F337" s="874"/>
      <c r="G337" s="893"/>
      <c r="H337" s="336">
        <f>SUM(H338)</f>
        <v>63656.32</v>
      </c>
      <c r="I337" s="502">
        <f t="shared" ref="I337" si="67">SUM(I338)</f>
        <v>1940</v>
      </c>
      <c r="J337" s="291">
        <f>+I337/H337*100</f>
        <v>3.0476156962890721</v>
      </c>
    </row>
    <row r="338" spans="1:10" ht="16.5" customHeight="1" x14ac:dyDescent="0.2">
      <c r="A338" s="309"/>
      <c r="B338" s="310" t="s">
        <v>1289</v>
      </c>
      <c r="C338" s="303" t="s">
        <v>32</v>
      </c>
      <c r="D338" s="311" t="s">
        <v>551</v>
      </c>
      <c r="E338" s="331">
        <v>1</v>
      </c>
      <c r="F338" s="331">
        <v>1</v>
      </c>
      <c r="G338" s="334">
        <f>+F338/E338*100</f>
        <v>100</v>
      </c>
      <c r="H338" s="338">
        <v>63656.32</v>
      </c>
      <c r="I338" s="512">
        <v>1940</v>
      </c>
      <c r="J338" s="503">
        <f t="shared" si="63"/>
        <v>3.0476156962890721</v>
      </c>
    </row>
    <row r="339" spans="1:10" ht="20.25" customHeight="1" x14ac:dyDescent="0.2">
      <c r="A339" s="2027" t="s">
        <v>1290</v>
      </c>
      <c r="B339" s="2028"/>
      <c r="C339" s="311"/>
      <c r="D339" s="2028"/>
      <c r="E339" s="330"/>
      <c r="F339" s="330"/>
      <c r="G339" s="330"/>
      <c r="H339" s="895">
        <v>384036.5</v>
      </c>
      <c r="I339" s="502">
        <v>107081.47</v>
      </c>
      <c r="J339" s="503">
        <f t="shared" si="63"/>
        <v>27.883149127752183</v>
      </c>
    </row>
    <row r="340" spans="1:10" ht="28.5" customHeight="1" x14ac:dyDescent="0.2">
      <c r="A340" s="2102"/>
      <c r="B340" s="2103" t="s">
        <v>1426</v>
      </c>
      <c r="C340" s="2104"/>
      <c r="D340" s="2105"/>
      <c r="E340" s="2106"/>
      <c r="F340" s="2106"/>
      <c r="G340" s="2107"/>
      <c r="H340" s="2108">
        <v>1974691</v>
      </c>
      <c r="I340" s="2109">
        <v>608431.25</v>
      </c>
      <c r="J340" s="2110">
        <f>I340/H340*100</f>
        <v>30.811466199015442</v>
      </c>
    </row>
    <row r="341" spans="1:10" ht="25.5" x14ac:dyDescent="0.2">
      <c r="A341" s="344">
        <v>1</v>
      </c>
      <c r="B341" s="345" t="s">
        <v>1340</v>
      </c>
      <c r="C341" s="346"/>
      <c r="D341" s="346"/>
      <c r="E341" s="347"/>
      <c r="F341" s="347"/>
      <c r="G341" s="347"/>
      <c r="H341" s="391">
        <f>SUM(H342:H343)</f>
        <v>414699.5</v>
      </c>
      <c r="I341" s="504">
        <f>SUM(I342:I343)</f>
        <v>162699.78</v>
      </c>
      <c r="J341" s="1609">
        <f>I341/H341*100</f>
        <v>39.23317486517346</v>
      </c>
    </row>
    <row r="342" spans="1:10" ht="25.5" x14ac:dyDescent="0.2">
      <c r="A342" s="348" t="s">
        <v>170</v>
      </c>
      <c r="B342" s="349" t="s">
        <v>1341</v>
      </c>
      <c r="C342" s="2386" t="s">
        <v>2490</v>
      </c>
      <c r="D342" s="350" t="s">
        <v>1343</v>
      </c>
      <c r="E342" s="351"/>
      <c r="F342" s="351"/>
      <c r="G342" s="351"/>
      <c r="H342" s="351">
        <v>0</v>
      </c>
      <c r="I342" s="505"/>
      <c r="J342" s="505"/>
    </row>
    <row r="343" spans="1:10" ht="27.75" customHeight="1" x14ac:dyDescent="0.2">
      <c r="A343" s="348" t="s">
        <v>1344</v>
      </c>
      <c r="B343" s="352" t="s">
        <v>1345</v>
      </c>
      <c r="C343" s="2386"/>
      <c r="D343" s="353" t="s">
        <v>1346</v>
      </c>
      <c r="E343" s="351">
        <v>2550</v>
      </c>
      <c r="F343" s="351">
        <v>1386</v>
      </c>
      <c r="G343" s="875">
        <v>54.35</v>
      </c>
      <c r="H343" s="351">
        <v>414699.5</v>
      </c>
      <c r="I343" s="505">
        <v>162699.78</v>
      </c>
      <c r="J343" s="302">
        <f>I343/H343*100</f>
        <v>39.23317486517346</v>
      </c>
    </row>
    <row r="344" spans="1:10" x14ac:dyDescent="0.2">
      <c r="A344" s="344">
        <v>2</v>
      </c>
      <c r="B344" s="354" t="s">
        <v>1347</v>
      </c>
      <c r="C344" s="355"/>
      <c r="D344" s="356"/>
      <c r="E344" s="357"/>
      <c r="F344" s="357"/>
      <c r="G344" s="876"/>
      <c r="H344" s="391">
        <f>SUM(H345:H349)</f>
        <v>444268</v>
      </c>
      <c r="I344" s="504">
        <f>SUM(I345:I349)</f>
        <v>154992</v>
      </c>
      <c r="J344" s="1609">
        <f>I344/H344*100</f>
        <v>34.887050158913091</v>
      </c>
    </row>
    <row r="345" spans="1:10" ht="19.5" customHeight="1" x14ac:dyDescent="0.2">
      <c r="A345" s="348" t="s">
        <v>163</v>
      </c>
      <c r="B345" s="352" t="s">
        <v>1429</v>
      </c>
      <c r="C345" s="2386" t="s">
        <v>1342</v>
      </c>
      <c r="D345" s="358" t="s">
        <v>351</v>
      </c>
      <c r="E345" s="359"/>
      <c r="F345" s="359"/>
      <c r="G345" s="568"/>
      <c r="H345" s="351">
        <v>0</v>
      </c>
      <c r="I345" s="505"/>
      <c r="J345" s="505"/>
    </row>
    <row r="346" spans="1:10" ht="19.5" customHeight="1" x14ac:dyDescent="0.2">
      <c r="A346" s="348" t="s">
        <v>702</v>
      </c>
      <c r="B346" s="352" t="s">
        <v>1348</v>
      </c>
      <c r="C346" s="2386"/>
      <c r="D346" s="358" t="s">
        <v>1349</v>
      </c>
      <c r="E346" s="296">
        <v>22080</v>
      </c>
      <c r="F346" s="359">
        <v>9969</v>
      </c>
      <c r="G346" s="568">
        <v>45.15</v>
      </c>
      <c r="H346" s="359">
        <v>0</v>
      </c>
      <c r="I346" s="496"/>
      <c r="J346" s="302"/>
    </row>
    <row r="347" spans="1:10" ht="17.25" customHeight="1" x14ac:dyDescent="0.2">
      <c r="A347" s="348" t="s">
        <v>1350</v>
      </c>
      <c r="B347" s="352" t="s">
        <v>1351</v>
      </c>
      <c r="C347" s="2386"/>
      <c r="D347" s="353" t="s">
        <v>1176</v>
      </c>
      <c r="E347" s="359">
        <v>1</v>
      </c>
      <c r="F347" s="359">
        <v>1</v>
      </c>
      <c r="G347" s="568">
        <v>80</v>
      </c>
      <c r="H347" s="351">
        <v>16700</v>
      </c>
      <c r="I347" s="505">
        <v>0</v>
      </c>
      <c r="J347" s="302">
        <f t="shared" ref="J347:J349" si="68">I347/H347</f>
        <v>0</v>
      </c>
    </row>
    <row r="348" spans="1:10" ht="30" customHeight="1" x14ac:dyDescent="0.2">
      <c r="A348" s="348" t="s">
        <v>1352</v>
      </c>
      <c r="B348" s="352" t="s">
        <v>1353</v>
      </c>
      <c r="C348" s="2386"/>
      <c r="D348" s="353" t="s">
        <v>1354</v>
      </c>
      <c r="E348" s="359">
        <v>108000</v>
      </c>
      <c r="F348" s="359">
        <v>56612</v>
      </c>
      <c r="G348" s="568">
        <v>52.42</v>
      </c>
      <c r="H348" s="351">
        <v>400000</v>
      </c>
      <c r="I348" s="505">
        <v>154992</v>
      </c>
      <c r="J348" s="302">
        <f>I348/H348*100</f>
        <v>38.747999999999998</v>
      </c>
    </row>
    <row r="349" spans="1:10" x14ac:dyDescent="0.2">
      <c r="A349" s="348" t="s">
        <v>1355</v>
      </c>
      <c r="B349" s="352" t="s">
        <v>1356</v>
      </c>
      <c r="C349" s="2386"/>
      <c r="D349" s="353" t="s">
        <v>1428</v>
      </c>
      <c r="E349" s="361">
        <v>26568</v>
      </c>
      <c r="F349" s="361"/>
      <c r="G349" s="877"/>
      <c r="H349" s="351">
        <v>27568</v>
      </c>
      <c r="I349" s="505">
        <v>0</v>
      </c>
      <c r="J349" s="302">
        <f t="shared" si="68"/>
        <v>0</v>
      </c>
    </row>
    <row r="350" spans="1:10" ht="17.25" customHeight="1" x14ac:dyDescent="0.2">
      <c r="A350" s="344">
        <v>3</v>
      </c>
      <c r="B350" s="345" t="s">
        <v>1357</v>
      </c>
      <c r="C350" s="355"/>
      <c r="D350" s="362"/>
      <c r="E350" s="363"/>
      <c r="F350" s="363"/>
      <c r="G350" s="878"/>
      <c r="H350" s="391">
        <f>+H351+H353</f>
        <v>81229</v>
      </c>
      <c r="I350" s="504">
        <f>+I351+I353</f>
        <v>40720</v>
      </c>
      <c r="J350" s="1609">
        <f t="shared" ref="J350:J355" si="69">I350/H350*100</f>
        <v>50.129879722759121</v>
      </c>
    </row>
    <row r="351" spans="1:10" ht="18" customHeight="1" x14ac:dyDescent="0.2">
      <c r="A351" s="364">
        <v>3.1</v>
      </c>
      <c r="B351" s="365" t="s">
        <v>1358</v>
      </c>
      <c r="C351" s="355"/>
      <c r="D351" s="366"/>
      <c r="E351" s="367"/>
      <c r="F351" s="367"/>
      <c r="G351" s="879"/>
      <c r="H351" s="387">
        <f>+H352</f>
        <v>22500</v>
      </c>
      <c r="I351" s="479">
        <f>+I352</f>
        <v>5000</v>
      </c>
      <c r="J351" s="1609">
        <f t="shared" si="69"/>
        <v>22.222222222222221</v>
      </c>
    </row>
    <row r="352" spans="1:10" ht="71.25" customHeight="1" x14ac:dyDescent="0.2">
      <c r="A352" s="301" t="s">
        <v>1359</v>
      </c>
      <c r="B352" s="368" t="s">
        <v>1360</v>
      </c>
      <c r="C352" s="859" t="s">
        <v>1342</v>
      </c>
      <c r="D352" s="358" t="s">
        <v>1369</v>
      </c>
      <c r="E352" s="369">
        <v>10</v>
      </c>
      <c r="F352" s="369">
        <v>5</v>
      </c>
      <c r="G352" s="880">
        <v>50</v>
      </c>
      <c r="H352" s="351">
        <v>22500</v>
      </c>
      <c r="I352" s="505">
        <v>5000</v>
      </c>
      <c r="J352" s="302">
        <f>I352/H352*100</f>
        <v>22.222222222222221</v>
      </c>
    </row>
    <row r="353" spans="1:10" ht="19.5" customHeight="1" x14ac:dyDescent="0.2">
      <c r="A353" s="364">
        <v>3.2</v>
      </c>
      <c r="B353" s="365" t="s">
        <v>1361</v>
      </c>
      <c r="C353" s="355"/>
      <c r="D353" s="366"/>
      <c r="E353" s="367"/>
      <c r="F353" s="367"/>
      <c r="G353" s="879"/>
      <c r="H353" s="387">
        <f>+H354</f>
        <v>58729</v>
      </c>
      <c r="I353" s="479">
        <f>+I354</f>
        <v>35720</v>
      </c>
      <c r="J353" s="1609">
        <f t="shared" si="69"/>
        <v>60.82174053704302</v>
      </c>
    </row>
    <row r="354" spans="1:10" ht="67.5" customHeight="1" x14ac:dyDescent="0.2">
      <c r="A354" s="301" t="s">
        <v>1362</v>
      </c>
      <c r="B354" s="368" t="s">
        <v>1363</v>
      </c>
      <c r="C354" s="859" t="s">
        <v>1342</v>
      </c>
      <c r="D354" s="370" t="s">
        <v>1364</v>
      </c>
      <c r="E354" s="359">
        <v>58729</v>
      </c>
      <c r="F354" s="359">
        <v>42373</v>
      </c>
      <c r="G354" s="568">
        <v>68.64</v>
      </c>
      <c r="H354" s="379">
        <v>58729</v>
      </c>
      <c r="I354" s="398">
        <v>35720</v>
      </c>
      <c r="J354" s="302">
        <f>I354/H354*100</f>
        <v>60.82174053704302</v>
      </c>
    </row>
    <row r="355" spans="1:10" ht="21" customHeight="1" x14ac:dyDescent="0.2">
      <c r="A355" s="371">
        <v>4</v>
      </c>
      <c r="B355" s="345" t="s">
        <v>1365</v>
      </c>
      <c r="C355" s="355"/>
      <c r="D355" s="372"/>
      <c r="E355" s="367"/>
      <c r="F355" s="367"/>
      <c r="G355" s="879"/>
      <c r="H355" s="391">
        <f>+H356+H361</f>
        <v>297328.52</v>
      </c>
      <c r="I355" s="504">
        <f>+I356+I361</f>
        <v>38312.5</v>
      </c>
      <c r="J355" s="1609">
        <f t="shared" si="69"/>
        <v>12.885578551294035</v>
      </c>
    </row>
    <row r="356" spans="1:10" ht="25.5" x14ac:dyDescent="0.2">
      <c r="A356" s="373">
        <v>4.0999999999999996</v>
      </c>
      <c r="B356" s="374" t="s">
        <v>1366</v>
      </c>
      <c r="C356" s="859"/>
      <c r="D356" s="358"/>
      <c r="E356" s="359"/>
      <c r="F356" s="359"/>
      <c r="G356" s="568"/>
      <c r="H356" s="896">
        <f>SUM(H357:H360)</f>
        <v>114445.6</v>
      </c>
      <c r="I356" s="506">
        <f>SUM(I357:I360)</f>
        <v>0</v>
      </c>
      <c r="J356" s="1609">
        <f>I356/H356</f>
        <v>0</v>
      </c>
    </row>
    <row r="357" spans="1:10" ht="15.75" customHeight="1" x14ac:dyDescent="0.2">
      <c r="A357" s="375" t="s">
        <v>1367</v>
      </c>
      <c r="B357" s="368" t="s">
        <v>1368</v>
      </c>
      <c r="C357" s="2386" t="s">
        <v>1342</v>
      </c>
      <c r="D357" s="370" t="s">
        <v>1369</v>
      </c>
      <c r="E357" s="359">
        <v>1</v>
      </c>
      <c r="F357" s="359"/>
      <c r="G357" s="568"/>
      <c r="H357" s="379">
        <v>36881</v>
      </c>
      <c r="I357" s="398"/>
      <c r="J357" s="302">
        <f t="shared" ref="J357:J360" si="70">I357/H357</f>
        <v>0</v>
      </c>
    </row>
    <row r="358" spans="1:10" ht="15" customHeight="1" x14ac:dyDescent="0.2">
      <c r="A358" s="375" t="s">
        <v>1370</v>
      </c>
      <c r="B358" s="368" t="s">
        <v>1371</v>
      </c>
      <c r="C358" s="2386"/>
      <c r="D358" s="370" t="s">
        <v>1372</v>
      </c>
      <c r="E358" s="359">
        <v>1</v>
      </c>
      <c r="F358" s="359"/>
      <c r="G358" s="568"/>
      <c r="H358" s="379">
        <v>63469</v>
      </c>
      <c r="I358" s="398"/>
      <c r="J358" s="302">
        <f t="shared" si="70"/>
        <v>0</v>
      </c>
    </row>
    <row r="359" spans="1:10" ht="25.5" x14ac:dyDescent="0.2">
      <c r="A359" s="375" t="s">
        <v>1373</v>
      </c>
      <c r="B359" s="368" t="s">
        <v>1374</v>
      </c>
      <c r="C359" s="2386"/>
      <c r="D359" s="370" t="s">
        <v>1375</v>
      </c>
      <c r="E359" s="359">
        <v>4</v>
      </c>
      <c r="F359" s="359"/>
      <c r="G359" s="568"/>
      <c r="H359" s="897">
        <v>9878</v>
      </c>
      <c r="I359" s="299">
        <v>0</v>
      </c>
      <c r="J359" s="302">
        <f t="shared" si="70"/>
        <v>0</v>
      </c>
    </row>
    <row r="360" spans="1:10" ht="21" customHeight="1" x14ac:dyDescent="0.2">
      <c r="A360" s="301" t="s">
        <v>1376</v>
      </c>
      <c r="B360" s="368" t="s">
        <v>1377</v>
      </c>
      <c r="C360" s="2386"/>
      <c r="D360" s="370" t="s">
        <v>59</v>
      </c>
      <c r="E360" s="359">
        <v>2</v>
      </c>
      <c r="F360" s="359"/>
      <c r="G360" s="568"/>
      <c r="H360" s="379">
        <v>4217.6000000000004</v>
      </c>
      <c r="I360" s="398"/>
      <c r="J360" s="302">
        <f t="shared" si="70"/>
        <v>0</v>
      </c>
    </row>
    <row r="361" spans="1:10" ht="18" customHeight="1" x14ac:dyDescent="0.2">
      <c r="A361" s="373">
        <v>4.2</v>
      </c>
      <c r="B361" s="376" t="s">
        <v>1378</v>
      </c>
      <c r="C361" s="859"/>
      <c r="D361" s="370"/>
      <c r="E361" s="359"/>
      <c r="F361" s="359"/>
      <c r="G361" s="568"/>
      <c r="H361" s="898">
        <f>SUM(H362:H368)</f>
        <v>182882.92</v>
      </c>
      <c r="I361" s="507">
        <f>SUM(I362:I368)</f>
        <v>38312.5</v>
      </c>
      <c r="J361" s="1610">
        <f>I361/H361*100</f>
        <v>20.949195255631306</v>
      </c>
    </row>
    <row r="362" spans="1:10" ht="15" customHeight="1" x14ac:dyDescent="0.2">
      <c r="A362" s="293" t="s">
        <v>1379</v>
      </c>
      <c r="B362" s="368" t="s">
        <v>1380</v>
      </c>
      <c r="C362" s="2386" t="s">
        <v>1342</v>
      </c>
      <c r="D362" s="370" t="s">
        <v>60</v>
      </c>
      <c r="E362" s="359"/>
      <c r="F362" s="359"/>
      <c r="G362" s="568"/>
      <c r="H362" s="379">
        <v>0</v>
      </c>
      <c r="I362" s="398"/>
      <c r="J362" s="398"/>
    </row>
    <row r="363" spans="1:10" ht="15" customHeight="1" x14ac:dyDescent="0.2">
      <c r="A363" s="293" t="s">
        <v>1381</v>
      </c>
      <c r="B363" s="368" t="s">
        <v>1382</v>
      </c>
      <c r="C363" s="2386"/>
      <c r="D363" s="370" t="s">
        <v>1369</v>
      </c>
      <c r="E363" s="359">
        <v>10</v>
      </c>
      <c r="F363" s="359">
        <v>5</v>
      </c>
      <c r="G363" s="568">
        <v>50</v>
      </c>
      <c r="H363" s="897">
        <v>142917</v>
      </c>
      <c r="I363" s="299">
        <v>38312.5</v>
      </c>
      <c r="J363" s="302">
        <f>I363/H363*100</f>
        <v>26.807517650104607</v>
      </c>
    </row>
    <row r="364" spans="1:10" ht="16.5" customHeight="1" x14ac:dyDescent="0.2">
      <c r="A364" s="293" t="s">
        <v>1383</v>
      </c>
      <c r="B364" s="368" t="s">
        <v>1384</v>
      </c>
      <c r="C364" s="2386"/>
      <c r="D364" s="377"/>
      <c r="E364" s="359"/>
      <c r="F364" s="359"/>
      <c r="G364" s="568"/>
      <c r="H364" s="359"/>
      <c r="I364" s="496"/>
      <c r="J364" s="496"/>
    </row>
    <row r="365" spans="1:10" ht="15" customHeight="1" x14ac:dyDescent="0.2">
      <c r="A365" s="293" t="s">
        <v>1385</v>
      </c>
      <c r="B365" s="368" t="s">
        <v>1386</v>
      </c>
      <c r="C365" s="2386"/>
      <c r="D365" s="370" t="s">
        <v>351</v>
      </c>
      <c r="E365" s="378">
        <v>0</v>
      </c>
      <c r="F365" s="379"/>
      <c r="G365" s="881"/>
      <c r="H365" s="379">
        <v>0</v>
      </c>
      <c r="I365" s="398"/>
      <c r="J365" s="398"/>
    </row>
    <row r="366" spans="1:10" ht="14.25" customHeight="1" x14ac:dyDescent="0.2">
      <c r="A366" s="293" t="s">
        <v>1387</v>
      </c>
      <c r="B366" s="368" t="s">
        <v>1388</v>
      </c>
      <c r="C366" s="2386"/>
      <c r="D366" s="370" t="s">
        <v>59</v>
      </c>
      <c r="E366" s="379">
        <v>1</v>
      </c>
      <c r="F366" s="379"/>
      <c r="G366" s="881"/>
      <c r="H366" s="379">
        <v>4965.92</v>
      </c>
      <c r="I366" s="398"/>
      <c r="J366" s="302">
        <f t="shared" ref="J366:J368" si="71">I366/H366</f>
        <v>0</v>
      </c>
    </row>
    <row r="367" spans="1:10" ht="15.75" customHeight="1" x14ac:dyDescent="0.2">
      <c r="A367" s="293" t="s">
        <v>1389</v>
      </c>
      <c r="B367" s="368" t="s">
        <v>1390</v>
      </c>
      <c r="C367" s="2386"/>
      <c r="D367" s="370" t="s">
        <v>1369</v>
      </c>
      <c r="E367" s="379">
        <v>9</v>
      </c>
      <c r="F367" s="379"/>
      <c r="G367" s="881"/>
      <c r="H367" s="379">
        <v>6000</v>
      </c>
      <c r="I367" s="398"/>
      <c r="J367" s="302">
        <f t="shared" si="71"/>
        <v>0</v>
      </c>
    </row>
    <row r="368" spans="1:10" ht="25.5" x14ac:dyDescent="0.2">
      <c r="A368" s="293" t="s">
        <v>1391</v>
      </c>
      <c r="B368" s="352" t="s">
        <v>1392</v>
      </c>
      <c r="C368" s="2386"/>
      <c r="D368" s="370" t="s">
        <v>351</v>
      </c>
      <c r="E368" s="379">
        <v>2</v>
      </c>
      <c r="F368" s="379"/>
      <c r="G368" s="881"/>
      <c r="H368" s="379">
        <v>29000</v>
      </c>
      <c r="I368" s="398"/>
      <c r="J368" s="302">
        <f t="shared" si="71"/>
        <v>0</v>
      </c>
    </row>
    <row r="369" spans="1:10" ht="15.75" customHeight="1" x14ac:dyDescent="0.2">
      <c r="A369" s="380">
        <v>6</v>
      </c>
      <c r="B369" s="381" t="s">
        <v>1393</v>
      </c>
      <c r="C369" s="859"/>
      <c r="D369" s="370"/>
      <c r="E369" s="379"/>
      <c r="F369" s="379"/>
      <c r="G369" s="881"/>
      <c r="H369" s="898">
        <f>+H370</f>
        <v>71872.5</v>
      </c>
      <c r="I369" s="507">
        <f>+I370</f>
        <v>28638</v>
      </c>
      <c r="J369" s="1610">
        <f t="shared" ref="J369:J370" si="72">I369/H369*100</f>
        <v>39.845559845559848</v>
      </c>
    </row>
    <row r="370" spans="1:10" ht="16.5" customHeight="1" x14ac:dyDescent="0.2">
      <c r="A370" s="382">
        <v>6.1</v>
      </c>
      <c r="B370" s="376" t="s">
        <v>1394</v>
      </c>
      <c r="C370" s="859"/>
      <c r="D370" s="358"/>
      <c r="E370" s="359"/>
      <c r="F370" s="359"/>
      <c r="G370" s="568"/>
      <c r="H370" s="896">
        <f>SUM(H371:H373)</f>
        <v>71872.5</v>
      </c>
      <c r="I370" s="506">
        <f>SUM(I371:I373)</f>
        <v>28638</v>
      </c>
      <c r="J370" s="1610">
        <f t="shared" si="72"/>
        <v>39.845559845559848</v>
      </c>
    </row>
    <row r="371" spans="1:10" ht="16.5" customHeight="1" x14ac:dyDescent="0.2">
      <c r="A371" s="360" t="s">
        <v>1395</v>
      </c>
      <c r="B371" s="352" t="s">
        <v>1396</v>
      </c>
      <c r="C371" s="2386" t="s">
        <v>1342</v>
      </c>
      <c r="D371" s="370" t="s">
        <v>1369</v>
      </c>
      <c r="E371" s="359">
        <v>10</v>
      </c>
      <c r="F371" s="359">
        <v>5</v>
      </c>
      <c r="G371" s="568">
        <f>+F371/E371*100</f>
        <v>50</v>
      </c>
      <c r="H371" s="379">
        <v>18000</v>
      </c>
      <c r="I371" s="398">
        <v>7600</v>
      </c>
      <c r="J371" s="302">
        <f>I371/H371*100</f>
        <v>42.222222222222221</v>
      </c>
    </row>
    <row r="372" spans="1:10" ht="21" customHeight="1" x14ac:dyDescent="0.2">
      <c r="A372" s="360" t="s">
        <v>1397</v>
      </c>
      <c r="B372" s="352" t="s">
        <v>1398</v>
      </c>
      <c r="C372" s="2386"/>
      <c r="D372" s="370" t="s">
        <v>1369</v>
      </c>
      <c r="E372" s="359">
        <v>10</v>
      </c>
      <c r="F372" s="359">
        <v>5</v>
      </c>
      <c r="G372" s="568">
        <f t="shared" ref="G372:G373" si="73">+F372/E372*100</f>
        <v>50</v>
      </c>
      <c r="H372" s="379">
        <v>53872.5</v>
      </c>
      <c r="I372" s="398">
        <v>21038</v>
      </c>
      <c r="J372" s="302">
        <f>I372/H372*100</f>
        <v>39.051464105062877</v>
      </c>
    </row>
    <row r="373" spans="1:10" ht="25.5" customHeight="1" x14ac:dyDescent="0.2">
      <c r="A373" s="360" t="s">
        <v>1399</v>
      </c>
      <c r="B373" s="352" t="s">
        <v>1400</v>
      </c>
      <c r="C373" s="2386"/>
      <c r="D373" s="370" t="s">
        <v>34</v>
      </c>
      <c r="E373" s="359">
        <v>102</v>
      </c>
      <c r="F373" s="359">
        <v>54</v>
      </c>
      <c r="G373" s="568">
        <f t="shared" si="73"/>
        <v>52.941176470588239</v>
      </c>
      <c r="H373" s="379">
        <v>0</v>
      </c>
      <c r="I373" s="398"/>
      <c r="J373" s="398"/>
    </row>
    <row r="374" spans="1:10" ht="23.25" customHeight="1" x14ac:dyDescent="0.2">
      <c r="A374" s="383">
        <v>7</v>
      </c>
      <c r="B374" s="384" t="s">
        <v>1401</v>
      </c>
      <c r="C374" s="385"/>
      <c r="D374" s="386"/>
      <c r="E374" s="387"/>
      <c r="F374" s="387"/>
      <c r="G374" s="882"/>
      <c r="H374" s="391">
        <f>+H375+H378</f>
        <v>87154.1</v>
      </c>
      <c r="I374" s="391">
        <f>+I375+I378</f>
        <v>0</v>
      </c>
      <c r="J374" s="1609">
        <f>I374/H374</f>
        <v>0</v>
      </c>
    </row>
    <row r="375" spans="1:10" ht="33" customHeight="1" x14ac:dyDescent="0.2">
      <c r="A375" s="364">
        <v>7.1</v>
      </c>
      <c r="B375" s="374" t="s">
        <v>1402</v>
      </c>
      <c r="C375" s="859"/>
      <c r="D375" s="358"/>
      <c r="E375" s="359"/>
      <c r="F375" s="359"/>
      <c r="G375" s="568"/>
      <c r="H375" s="896">
        <f>SUM(H376:H377)</f>
        <v>33321.32</v>
      </c>
      <c r="I375" s="506">
        <f>SUM(I376:I377)</f>
        <v>0</v>
      </c>
      <c r="J375" s="1609">
        <f>I375/H375</f>
        <v>0</v>
      </c>
    </row>
    <row r="376" spans="1:10" ht="27.75" customHeight="1" x14ac:dyDescent="0.2">
      <c r="A376" s="301" t="s">
        <v>728</v>
      </c>
      <c r="B376" s="368" t="s">
        <v>1403</v>
      </c>
      <c r="C376" s="2387" t="s">
        <v>1342</v>
      </c>
      <c r="D376" s="370" t="s">
        <v>351</v>
      </c>
      <c r="E376" s="359">
        <v>2</v>
      </c>
      <c r="F376" s="359"/>
      <c r="G376" s="564"/>
      <c r="H376" s="379">
        <v>16660.66</v>
      </c>
      <c r="I376" s="398"/>
      <c r="J376" s="302">
        <f t="shared" ref="J376:J377" si="74">I376/H376</f>
        <v>0</v>
      </c>
    </row>
    <row r="377" spans="1:10" ht="41.25" customHeight="1" x14ac:dyDescent="0.2">
      <c r="A377" s="301" t="s">
        <v>1404</v>
      </c>
      <c r="B377" s="368" t="s">
        <v>1405</v>
      </c>
      <c r="C377" s="2388"/>
      <c r="D377" s="370" t="s">
        <v>351</v>
      </c>
      <c r="E377" s="359">
        <v>2</v>
      </c>
      <c r="F377" s="359"/>
      <c r="G377" s="564"/>
      <c r="H377" s="379">
        <v>16660.66</v>
      </c>
      <c r="I377" s="398"/>
      <c r="J377" s="302">
        <f t="shared" si="74"/>
        <v>0</v>
      </c>
    </row>
    <row r="378" spans="1:10" ht="30" customHeight="1" x14ac:dyDescent="0.2">
      <c r="A378" s="364">
        <v>7.2</v>
      </c>
      <c r="B378" s="374" t="s">
        <v>1406</v>
      </c>
      <c r="C378" s="859"/>
      <c r="D378" s="358"/>
      <c r="E378" s="359"/>
      <c r="F378" s="359"/>
      <c r="G378" s="568"/>
      <c r="H378" s="896">
        <f>SUM(H379:H381)</f>
        <v>53832.78</v>
      </c>
      <c r="I378" s="506">
        <f>SUM(I379:I381)</f>
        <v>0</v>
      </c>
      <c r="J378" s="1609">
        <f>I378/H378</f>
        <v>0</v>
      </c>
    </row>
    <row r="379" spans="1:10" ht="18.75" customHeight="1" x14ac:dyDescent="0.2">
      <c r="A379" s="301" t="s">
        <v>1407</v>
      </c>
      <c r="B379" s="368" t="s">
        <v>1408</v>
      </c>
      <c r="C379" s="2386" t="s">
        <v>1342</v>
      </c>
      <c r="D379" s="370" t="s">
        <v>351</v>
      </c>
      <c r="E379" s="359">
        <v>1</v>
      </c>
      <c r="F379" s="359"/>
      <c r="G379" s="568"/>
      <c r="H379" s="379">
        <v>17944.259999999998</v>
      </c>
      <c r="I379" s="398"/>
      <c r="J379" s="302">
        <f t="shared" ref="J379:J381" si="75">I379/H379</f>
        <v>0</v>
      </c>
    </row>
    <row r="380" spans="1:10" ht="35.25" customHeight="1" x14ac:dyDescent="0.2">
      <c r="A380" s="301" t="s">
        <v>1409</v>
      </c>
      <c r="B380" s="368" t="s">
        <v>1410</v>
      </c>
      <c r="C380" s="2386"/>
      <c r="D380" s="370" t="s">
        <v>351</v>
      </c>
      <c r="E380" s="359">
        <v>1</v>
      </c>
      <c r="F380" s="359"/>
      <c r="G380" s="568"/>
      <c r="H380" s="379">
        <v>17944.259999999998</v>
      </c>
      <c r="I380" s="398"/>
      <c r="J380" s="302">
        <f t="shared" si="75"/>
        <v>0</v>
      </c>
    </row>
    <row r="381" spans="1:10" ht="24.75" customHeight="1" x14ac:dyDescent="0.2">
      <c r="A381" s="301" t="s">
        <v>1411</v>
      </c>
      <c r="B381" s="368" t="s">
        <v>1412</v>
      </c>
      <c r="C381" s="2386"/>
      <c r="D381" s="370" t="s">
        <v>351</v>
      </c>
      <c r="E381" s="359">
        <v>1</v>
      </c>
      <c r="F381" s="359"/>
      <c r="G381" s="568"/>
      <c r="H381" s="379">
        <v>17944.259999999998</v>
      </c>
      <c r="I381" s="398"/>
      <c r="J381" s="302">
        <f t="shared" si="75"/>
        <v>0</v>
      </c>
    </row>
    <row r="382" spans="1:10" ht="25.5" x14ac:dyDescent="0.2">
      <c r="A382" s="371">
        <v>8</v>
      </c>
      <c r="B382" s="384" t="s">
        <v>1413</v>
      </c>
      <c r="C382" s="385"/>
      <c r="D382" s="386"/>
      <c r="E382" s="387"/>
      <c r="F382" s="387"/>
      <c r="G382" s="882"/>
      <c r="H382" s="391">
        <f>+H383+H388</f>
        <v>34859.96</v>
      </c>
      <c r="I382" s="504">
        <f>+I383</f>
        <v>4867.3999999999996</v>
      </c>
      <c r="J382" s="1609">
        <f t="shared" ref="J382:J390" si="76">I382/H382*100</f>
        <v>13.962723996240959</v>
      </c>
    </row>
    <row r="383" spans="1:10" ht="25.5" x14ac:dyDescent="0.2">
      <c r="A383" s="388">
        <v>8.1</v>
      </c>
      <c r="B383" s="374" t="s">
        <v>1414</v>
      </c>
      <c r="C383" s="859"/>
      <c r="D383" s="389"/>
      <c r="E383" s="369"/>
      <c r="F383" s="369"/>
      <c r="G383" s="880"/>
      <c r="H383" s="899">
        <f>SUM(H384:H387)</f>
        <v>34859.96</v>
      </c>
      <c r="I383" s="508">
        <f>SUM(I384:I387)</f>
        <v>4867.3999999999996</v>
      </c>
      <c r="J383" s="1610">
        <f t="shared" si="76"/>
        <v>13.962723996240959</v>
      </c>
    </row>
    <row r="384" spans="1:10" ht="17.25" customHeight="1" x14ac:dyDescent="0.2">
      <c r="A384" s="375" t="s">
        <v>1415</v>
      </c>
      <c r="B384" s="368" t="s">
        <v>1416</v>
      </c>
      <c r="C384" s="2386" t="s">
        <v>1342</v>
      </c>
      <c r="D384" s="370" t="s">
        <v>351</v>
      </c>
      <c r="E384" s="379">
        <v>1</v>
      </c>
      <c r="F384" s="398">
        <v>0.5</v>
      </c>
      <c r="G384" s="568">
        <f t="shared" ref="G384:G386" si="77">+F384/E384*100</f>
        <v>50</v>
      </c>
      <c r="H384" s="379">
        <v>6679.98</v>
      </c>
      <c r="I384" s="398"/>
      <c r="J384" s="1610">
        <f t="shared" si="76"/>
        <v>0</v>
      </c>
    </row>
    <row r="385" spans="1:12" ht="25.5" x14ac:dyDescent="0.2">
      <c r="A385" s="301" t="s">
        <v>1417</v>
      </c>
      <c r="B385" s="368" t="s">
        <v>1418</v>
      </c>
      <c r="C385" s="2386"/>
      <c r="D385" s="370" t="s">
        <v>75</v>
      </c>
      <c r="E385" s="379">
        <v>4</v>
      </c>
      <c r="F385" s="378">
        <v>1</v>
      </c>
      <c r="G385" s="568">
        <f t="shared" si="77"/>
        <v>25</v>
      </c>
      <c r="H385" s="379">
        <v>10000</v>
      </c>
      <c r="I385" s="398">
        <v>1867.4</v>
      </c>
      <c r="J385" s="302">
        <f t="shared" si="76"/>
        <v>18.674000000000003</v>
      </c>
    </row>
    <row r="386" spans="1:12" ht="15.75" customHeight="1" x14ac:dyDescent="0.2">
      <c r="A386" s="301" t="s">
        <v>1419</v>
      </c>
      <c r="B386" s="368" t="s">
        <v>1420</v>
      </c>
      <c r="C386" s="2386"/>
      <c r="D386" s="370" t="s">
        <v>95</v>
      </c>
      <c r="E386" s="379">
        <v>7</v>
      </c>
      <c r="F386" s="378">
        <v>3</v>
      </c>
      <c r="G386" s="568">
        <f t="shared" si="77"/>
        <v>42.857142857142854</v>
      </c>
      <c r="H386" s="379">
        <v>11500</v>
      </c>
      <c r="I386" s="398">
        <v>3000</v>
      </c>
      <c r="J386" s="302">
        <f t="shared" si="76"/>
        <v>26.086956521739129</v>
      </c>
    </row>
    <row r="387" spans="1:12" ht="25.5" x14ac:dyDescent="0.2">
      <c r="A387" s="301" t="s">
        <v>1421</v>
      </c>
      <c r="B387" s="368" t="s">
        <v>1422</v>
      </c>
      <c r="C387" s="2386"/>
      <c r="D387" s="370" t="s">
        <v>351</v>
      </c>
      <c r="E387" s="379">
        <v>1</v>
      </c>
      <c r="F387" s="378"/>
      <c r="G387" s="881"/>
      <c r="H387" s="379">
        <v>6679.98</v>
      </c>
      <c r="I387" s="398"/>
      <c r="J387" s="1610">
        <f t="shared" si="76"/>
        <v>0</v>
      </c>
    </row>
    <row r="388" spans="1:12" ht="25.5" x14ac:dyDescent="0.2">
      <c r="A388" s="380">
        <v>9</v>
      </c>
      <c r="B388" s="390" t="s">
        <v>1423</v>
      </c>
      <c r="C388" s="385"/>
      <c r="D388" s="386"/>
      <c r="E388" s="391"/>
      <c r="F388" s="391"/>
      <c r="G388" s="883"/>
      <c r="H388" s="391">
        <f>+H389</f>
        <v>0</v>
      </c>
      <c r="I388" s="504"/>
      <c r="J388" s="1610"/>
    </row>
    <row r="389" spans="1:12" ht="68.25" customHeight="1" x14ac:dyDescent="0.2">
      <c r="A389" s="392" t="s">
        <v>1424</v>
      </c>
      <c r="B389" s="393" t="s">
        <v>1425</v>
      </c>
      <c r="C389" s="859" t="s">
        <v>1342</v>
      </c>
      <c r="D389" s="358" t="s">
        <v>351</v>
      </c>
      <c r="E389" s="359">
        <v>1</v>
      </c>
      <c r="F389" s="359"/>
      <c r="G389" s="568"/>
      <c r="H389" s="379">
        <v>0</v>
      </c>
      <c r="I389" s="398"/>
      <c r="J389" s="1610"/>
    </row>
    <row r="390" spans="1:12" ht="20.25" customHeight="1" x14ac:dyDescent="0.2">
      <c r="A390" s="380">
        <v>10</v>
      </c>
      <c r="B390" s="374" t="s">
        <v>567</v>
      </c>
      <c r="C390" s="394" t="s">
        <v>32</v>
      </c>
      <c r="D390" s="395" t="s">
        <v>1369</v>
      </c>
      <c r="E390" s="396">
        <v>10</v>
      </c>
      <c r="F390" s="396">
        <v>5</v>
      </c>
      <c r="G390" s="884">
        <v>50</v>
      </c>
      <c r="H390" s="900">
        <f>446049.94+20000+53180.8+24048.78</f>
        <v>543279.52</v>
      </c>
      <c r="I390" s="509">
        <f>160359.57+5900+10620+1322</f>
        <v>178201.57</v>
      </c>
      <c r="J390" s="1610">
        <f t="shared" si="76"/>
        <v>32.801083685245494</v>
      </c>
    </row>
    <row r="391" spans="1:12" ht="51" x14ac:dyDescent="0.2">
      <c r="A391" s="2096"/>
      <c r="B391" s="2097" t="s">
        <v>1561</v>
      </c>
      <c r="C391" s="2098"/>
      <c r="D391" s="2098"/>
      <c r="E391" s="2099"/>
      <c r="F391" s="2099"/>
      <c r="G391" s="2100"/>
      <c r="H391" s="481">
        <v>2519696</v>
      </c>
      <c r="I391" s="482">
        <v>804585</v>
      </c>
      <c r="J391" s="2101">
        <f>+I391/H391*100</f>
        <v>31.931828284046965</v>
      </c>
      <c r="L391" s="500"/>
    </row>
    <row r="392" spans="1:12" ht="18.75" customHeight="1" x14ac:dyDescent="0.2">
      <c r="A392" s="409">
        <v>1</v>
      </c>
      <c r="B392" s="410" t="s">
        <v>1430</v>
      </c>
      <c r="C392" s="385"/>
      <c r="D392" s="385"/>
      <c r="E392" s="416"/>
      <c r="F392" s="416"/>
      <c r="G392" s="885"/>
      <c r="H392" s="424">
        <f>+H393+H398+H401+H407</f>
        <v>905186.4</v>
      </c>
      <c r="I392" s="451">
        <f>+I393+I398+I401+I407</f>
        <v>325500</v>
      </c>
      <c r="J392" s="417">
        <f t="shared" ref="J392:J397" si="78">+I392/H392*100</f>
        <v>35.959444375213764</v>
      </c>
    </row>
    <row r="393" spans="1:12" ht="25.5" x14ac:dyDescent="0.2">
      <c r="A393" s="408" t="s">
        <v>1431</v>
      </c>
      <c r="B393" s="400" t="s">
        <v>1432</v>
      </c>
      <c r="C393" s="859" t="s">
        <v>32</v>
      </c>
      <c r="D393" s="412" t="s">
        <v>34</v>
      </c>
      <c r="E393" s="418">
        <v>552</v>
      </c>
      <c r="F393" s="418">
        <v>545</v>
      </c>
      <c r="G393" s="419">
        <f>+F393/E393*100</f>
        <v>98.731884057971016</v>
      </c>
      <c r="H393" s="423">
        <f>+SUM(H394:H397)</f>
        <v>172200</v>
      </c>
      <c r="I393" s="475">
        <f>+SUM(I394:I397)</f>
        <v>165600</v>
      </c>
      <c r="J393" s="420">
        <f t="shared" si="78"/>
        <v>96.167247386759584</v>
      </c>
    </row>
    <row r="394" spans="1:12" ht="18.75" customHeight="1" x14ac:dyDescent="0.2">
      <c r="A394" s="348" t="s">
        <v>170</v>
      </c>
      <c r="B394" s="352" t="s">
        <v>1433</v>
      </c>
      <c r="C394" s="859"/>
      <c r="D394" s="412"/>
      <c r="E394" s="421"/>
      <c r="F394" s="421"/>
      <c r="G394" s="422"/>
      <c r="H394" s="448">
        <v>41400</v>
      </c>
      <c r="I394" s="453">
        <v>41400</v>
      </c>
      <c r="J394" s="419">
        <f t="shared" si="78"/>
        <v>100</v>
      </c>
    </row>
    <row r="395" spans="1:12" ht="18.75" customHeight="1" x14ac:dyDescent="0.2">
      <c r="A395" s="348" t="s">
        <v>171</v>
      </c>
      <c r="B395" s="352" t="s">
        <v>1434</v>
      </c>
      <c r="C395" s="859"/>
      <c r="D395" s="412"/>
      <c r="E395" s="421"/>
      <c r="F395" s="421"/>
      <c r="G395" s="422"/>
      <c r="H395" s="448">
        <v>41400</v>
      </c>
      <c r="I395" s="453">
        <v>41400</v>
      </c>
      <c r="J395" s="419">
        <f t="shared" si="78"/>
        <v>100</v>
      </c>
    </row>
    <row r="396" spans="1:12" ht="18.75" customHeight="1" x14ac:dyDescent="0.2">
      <c r="A396" s="348" t="s">
        <v>699</v>
      </c>
      <c r="B396" s="352" t="s">
        <v>1434</v>
      </c>
      <c r="C396" s="859"/>
      <c r="D396" s="412"/>
      <c r="E396" s="421"/>
      <c r="F396" s="421"/>
      <c r="G396" s="422"/>
      <c r="H396" s="448">
        <v>41400</v>
      </c>
      <c r="I396" s="453">
        <v>41400</v>
      </c>
      <c r="J396" s="419">
        <f t="shared" si="78"/>
        <v>100</v>
      </c>
    </row>
    <row r="397" spans="1:12" ht="18.75" customHeight="1" x14ac:dyDescent="0.2">
      <c r="A397" s="348" t="s">
        <v>700</v>
      </c>
      <c r="B397" s="352" t="s">
        <v>1435</v>
      </c>
      <c r="C397" s="859"/>
      <c r="D397" s="412"/>
      <c r="E397" s="421"/>
      <c r="F397" s="421"/>
      <c r="G397" s="422"/>
      <c r="H397" s="448">
        <v>48000</v>
      </c>
      <c r="I397" s="453">
        <v>41400</v>
      </c>
      <c r="J397" s="419">
        <f t="shared" si="78"/>
        <v>86.25</v>
      </c>
    </row>
    <row r="398" spans="1:12" ht="25.5" customHeight="1" x14ac:dyDescent="0.2">
      <c r="A398" s="408" t="s">
        <v>1436</v>
      </c>
      <c r="B398" s="400" t="s">
        <v>1437</v>
      </c>
      <c r="C398" s="859" t="s">
        <v>32</v>
      </c>
      <c r="D398" s="412" t="s">
        <v>34</v>
      </c>
      <c r="E398" s="418">
        <v>276</v>
      </c>
      <c r="F398" s="418">
        <v>269</v>
      </c>
      <c r="G398" s="419">
        <f>+F398/E398*100</f>
        <v>97.463768115942031</v>
      </c>
      <c r="H398" s="423">
        <f>+SUM(H399:H400)</f>
        <v>82800</v>
      </c>
      <c r="I398" s="475">
        <f>+SUM(I399:I400)</f>
        <v>82800</v>
      </c>
      <c r="J398" s="420">
        <f t="shared" ref="J398:J400" si="79">+I398/H398*100</f>
        <v>100</v>
      </c>
    </row>
    <row r="399" spans="1:12" ht="18.75" customHeight="1" x14ac:dyDescent="0.2">
      <c r="A399" s="348" t="s">
        <v>1438</v>
      </c>
      <c r="B399" s="402" t="s">
        <v>1439</v>
      </c>
      <c r="C399" s="413"/>
      <c r="D399" s="413"/>
      <c r="E399" s="421"/>
      <c r="F399" s="421"/>
      <c r="G399" s="422"/>
      <c r="H399" s="448">
        <v>41400</v>
      </c>
      <c r="I399" s="453">
        <v>41400</v>
      </c>
      <c r="J399" s="419">
        <f t="shared" si="79"/>
        <v>100</v>
      </c>
    </row>
    <row r="400" spans="1:12" ht="18.75" customHeight="1" x14ac:dyDescent="0.2">
      <c r="A400" s="348" t="s">
        <v>1344</v>
      </c>
      <c r="B400" s="402" t="s">
        <v>1440</v>
      </c>
      <c r="C400" s="413"/>
      <c r="D400" s="413"/>
      <c r="E400" s="421"/>
      <c r="F400" s="421"/>
      <c r="G400" s="422"/>
      <c r="H400" s="448">
        <v>41400</v>
      </c>
      <c r="I400" s="453">
        <v>41400</v>
      </c>
      <c r="J400" s="419">
        <f t="shared" si="79"/>
        <v>100</v>
      </c>
    </row>
    <row r="401" spans="1:10" ht="27" customHeight="1" x14ac:dyDescent="0.2">
      <c r="A401" s="408" t="s">
        <v>1441</v>
      </c>
      <c r="B401" s="400" t="s">
        <v>1442</v>
      </c>
      <c r="C401" s="859" t="s">
        <v>32</v>
      </c>
      <c r="D401" s="412" t="s">
        <v>1443</v>
      </c>
      <c r="E401" s="418">
        <v>46</v>
      </c>
      <c r="F401" s="418">
        <v>123</v>
      </c>
      <c r="G401" s="419">
        <f>+F401/E401*100</f>
        <v>267.39130434782606</v>
      </c>
      <c r="H401" s="423">
        <f>+SUM(H402:H406)</f>
        <v>363960</v>
      </c>
      <c r="I401" s="475">
        <f>+SUM(I403:I406)</f>
        <v>77100</v>
      </c>
      <c r="J401" s="420">
        <f t="shared" ref="J401:J407" si="80">+I401/H401*100</f>
        <v>21.183646554566433</v>
      </c>
    </row>
    <row r="402" spans="1:10" ht="18.75" customHeight="1" x14ac:dyDescent="0.2">
      <c r="A402" s="348" t="s">
        <v>1444</v>
      </c>
      <c r="B402" s="402" t="s">
        <v>1445</v>
      </c>
      <c r="C402" s="859"/>
      <c r="D402" s="412"/>
      <c r="E402" s="421"/>
      <c r="F402" s="421"/>
      <c r="G402" s="422"/>
      <c r="H402" s="448">
        <v>0</v>
      </c>
      <c r="J402" s="419"/>
    </row>
    <row r="403" spans="1:10" ht="18.75" customHeight="1" x14ac:dyDescent="0.2">
      <c r="A403" s="348" t="s">
        <v>1446</v>
      </c>
      <c r="B403" s="402" t="s">
        <v>1447</v>
      </c>
      <c r="C403" s="859"/>
      <c r="D403" s="412"/>
      <c r="E403" s="421"/>
      <c r="F403" s="421"/>
      <c r="G403" s="422"/>
      <c r="H403" s="448">
        <v>138000</v>
      </c>
      <c r="I403" s="453">
        <v>6900</v>
      </c>
      <c r="J403" s="419">
        <f>+I404/H403*100</f>
        <v>27.753623188405797</v>
      </c>
    </row>
    <row r="404" spans="1:10" ht="18.75" customHeight="1" x14ac:dyDescent="0.2">
      <c r="A404" s="348" t="s">
        <v>1448</v>
      </c>
      <c r="B404" s="402" t="s">
        <v>1449</v>
      </c>
      <c r="C404" s="859"/>
      <c r="D404" s="412"/>
      <c r="E404" s="421"/>
      <c r="F404" s="421"/>
      <c r="G404" s="422"/>
      <c r="H404" s="448">
        <v>29460</v>
      </c>
      <c r="I404" s="453">
        <f>13300+25000</f>
        <v>38300</v>
      </c>
      <c r="J404" s="419">
        <f>+I405/H404*100</f>
        <v>84.860828241683635</v>
      </c>
    </row>
    <row r="405" spans="1:10" ht="18.75" customHeight="1" x14ac:dyDescent="0.2">
      <c r="A405" s="348" t="s">
        <v>1450</v>
      </c>
      <c r="B405" s="402" t="s">
        <v>1451</v>
      </c>
      <c r="C405" s="859"/>
      <c r="D405" s="412"/>
      <c r="E405" s="421"/>
      <c r="F405" s="421"/>
      <c r="G405" s="422"/>
      <c r="H405" s="448">
        <v>183200</v>
      </c>
      <c r="I405" s="453">
        <v>25000</v>
      </c>
      <c r="J405" s="419">
        <f>+I406/H405*100</f>
        <v>3.766375545851528</v>
      </c>
    </row>
    <row r="406" spans="1:10" ht="18.75" customHeight="1" x14ac:dyDescent="0.2">
      <c r="A406" s="348" t="s">
        <v>1452</v>
      </c>
      <c r="B406" s="402" t="s">
        <v>1453</v>
      </c>
      <c r="C406" s="859"/>
      <c r="D406" s="412"/>
      <c r="E406" s="421"/>
      <c r="F406" s="421"/>
      <c r="G406" s="422"/>
      <c r="H406" s="448">
        <v>13300</v>
      </c>
      <c r="I406" s="453">
        <f>6900</f>
        <v>6900</v>
      </c>
      <c r="J406" s="419">
        <f>+I406/H406*100</f>
        <v>51.879699248120303</v>
      </c>
    </row>
    <row r="407" spans="1:10" ht="18.75" customHeight="1" x14ac:dyDescent="0.2">
      <c r="A407" s="905" t="s">
        <v>1454</v>
      </c>
      <c r="B407" s="400" t="s">
        <v>1455</v>
      </c>
      <c r="C407" s="394"/>
      <c r="D407" s="414"/>
      <c r="E407" s="886"/>
      <c r="F407" s="423"/>
      <c r="G407" s="420"/>
      <c r="H407" s="423">
        <f>+H408+H409+H411+H413</f>
        <v>286226.40000000002</v>
      </c>
      <c r="I407" s="475">
        <f>+I408+I409+I411+I413</f>
        <v>0</v>
      </c>
      <c r="J407" s="419">
        <f t="shared" si="80"/>
        <v>0</v>
      </c>
    </row>
    <row r="408" spans="1:10" ht="18.75" customHeight="1" x14ac:dyDescent="0.2">
      <c r="A408" s="348" t="s">
        <v>1457</v>
      </c>
      <c r="B408" s="402" t="s">
        <v>1458</v>
      </c>
      <c r="C408" s="859" t="s">
        <v>32</v>
      </c>
      <c r="D408" s="412" t="s">
        <v>1456</v>
      </c>
      <c r="E408" s="421"/>
      <c r="F408" s="421"/>
      <c r="G408" s="422"/>
      <c r="H408" s="448">
        <v>0</v>
      </c>
      <c r="I408" s="453">
        <v>0</v>
      </c>
      <c r="J408" s="453"/>
    </row>
    <row r="409" spans="1:10" ht="18.75" customHeight="1" x14ac:dyDescent="0.2">
      <c r="A409" s="407" t="s">
        <v>1459</v>
      </c>
      <c r="B409" s="297" t="s">
        <v>1460</v>
      </c>
      <c r="C409" s="394" t="s">
        <v>32</v>
      </c>
      <c r="D409" s="414" t="s">
        <v>1456</v>
      </c>
      <c r="E409" s="887">
        <v>120</v>
      </c>
      <c r="F409" s="909">
        <v>115</v>
      </c>
      <c r="G409" s="420">
        <f>+F409/E409*100</f>
        <v>95.833333333333343</v>
      </c>
      <c r="H409" s="901">
        <f>+H410</f>
        <v>210666.15</v>
      </c>
      <c r="I409" s="453">
        <v>0</v>
      </c>
      <c r="J409" s="453"/>
    </row>
    <row r="410" spans="1:10" ht="18.75" customHeight="1" x14ac:dyDescent="0.2">
      <c r="A410" s="348"/>
      <c r="B410" s="352" t="s">
        <v>1461</v>
      </c>
      <c r="C410" s="859"/>
      <c r="D410" s="412"/>
      <c r="E410" s="889"/>
      <c r="F410" s="421"/>
      <c r="G410" s="422"/>
      <c r="H410" s="448">
        <f>300000-89333.85</f>
        <v>210666.15</v>
      </c>
      <c r="I410" s="453">
        <v>0</v>
      </c>
      <c r="J410" s="453"/>
    </row>
    <row r="411" spans="1:10" ht="18.75" customHeight="1" x14ac:dyDescent="0.2">
      <c r="A411" s="407" t="s">
        <v>1462</v>
      </c>
      <c r="B411" s="297" t="s">
        <v>1463</v>
      </c>
      <c r="C411" s="394" t="s">
        <v>32</v>
      </c>
      <c r="D411" s="414" t="s">
        <v>1456</v>
      </c>
      <c r="E411" s="887">
        <v>34</v>
      </c>
      <c r="F411" s="888">
        <v>0</v>
      </c>
      <c r="G411" s="890">
        <f>+F411/E411</f>
        <v>0</v>
      </c>
      <c r="H411" s="901">
        <f>+H412</f>
        <v>10000</v>
      </c>
      <c r="I411" s="453">
        <f>+I412</f>
        <v>0</v>
      </c>
      <c r="J411" s="453"/>
    </row>
    <row r="412" spans="1:10" ht="18.75" customHeight="1" x14ac:dyDescent="0.2">
      <c r="A412" s="348"/>
      <c r="B412" s="352" t="s">
        <v>1461</v>
      </c>
      <c r="C412" s="859"/>
      <c r="D412" s="412"/>
      <c r="E412" s="889"/>
      <c r="F412" s="421"/>
      <c r="G412" s="422"/>
      <c r="H412" s="448">
        <v>10000</v>
      </c>
      <c r="I412" s="453">
        <v>0</v>
      </c>
      <c r="J412" s="453"/>
    </row>
    <row r="413" spans="1:10" ht="18.75" customHeight="1" x14ac:dyDescent="0.2">
      <c r="A413" s="407" t="s">
        <v>1464</v>
      </c>
      <c r="B413" s="376" t="s">
        <v>1465</v>
      </c>
      <c r="C413" s="394" t="s">
        <v>32</v>
      </c>
      <c r="D413" s="414" t="s">
        <v>1456</v>
      </c>
      <c r="E413" s="887">
        <v>57</v>
      </c>
      <c r="F413" s="888">
        <v>0</v>
      </c>
      <c r="G413" s="890">
        <f>+F413/E413</f>
        <v>0</v>
      </c>
      <c r="H413" s="901">
        <f>+H414+H415</f>
        <v>65560.25</v>
      </c>
      <c r="I413" s="453">
        <f>+I414+I415</f>
        <v>0</v>
      </c>
      <c r="J413" s="453"/>
    </row>
    <row r="414" spans="1:10" ht="18.75" customHeight="1" x14ac:dyDescent="0.2">
      <c r="A414" s="297"/>
      <c r="B414" s="352" t="s">
        <v>1461</v>
      </c>
      <c r="C414" s="859"/>
      <c r="D414" s="412"/>
      <c r="E414" s="421"/>
      <c r="F414" s="421"/>
      <c r="G414" s="422"/>
      <c r="H414" s="448">
        <v>55116.25</v>
      </c>
      <c r="I414" s="510">
        <v>0</v>
      </c>
      <c r="J414" s="453"/>
    </row>
    <row r="415" spans="1:10" ht="18.75" customHeight="1" x14ac:dyDescent="0.2">
      <c r="A415" s="297"/>
      <c r="B415" s="352" t="s">
        <v>1466</v>
      </c>
      <c r="C415" s="859"/>
      <c r="D415" s="412"/>
      <c r="E415" s="421"/>
      <c r="F415" s="421"/>
      <c r="G415" s="422"/>
      <c r="H415" s="448">
        <v>10444</v>
      </c>
      <c r="I415" s="510">
        <v>0</v>
      </c>
      <c r="J415" s="453"/>
    </row>
    <row r="416" spans="1:10" ht="18.75" customHeight="1" x14ac:dyDescent="0.2">
      <c r="A416" s="409">
        <v>2</v>
      </c>
      <c r="B416" s="410" t="s">
        <v>1467</v>
      </c>
      <c r="C416" s="385"/>
      <c r="D416" s="385"/>
      <c r="E416" s="424"/>
      <c r="F416" s="424"/>
      <c r="G416" s="417"/>
      <c r="H416" s="424">
        <f>+H417+H431</f>
        <v>251965.6</v>
      </c>
      <c r="I416" s="451">
        <f>+I417+I431</f>
        <v>54261.599999999999</v>
      </c>
      <c r="J416" s="417">
        <f t="shared" ref="J416:J417" si="81">+I416/H416*100</f>
        <v>21.535320694571002</v>
      </c>
    </row>
    <row r="417" spans="1:10" ht="18.75" customHeight="1" x14ac:dyDescent="0.2">
      <c r="A417" s="408">
        <v>2.1</v>
      </c>
      <c r="B417" s="376" t="s">
        <v>1468</v>
      </c>
      <c r="C417" s="394" t="s">
        <v>32</v>
      </c>
      <c r="D417" s="414" t="s">
        <v>1456</v>
      </c>
      <c r="E417" s="910">
        <f>+E427+E429</f>
        <v>58</v>
      </c>
      <c r="F417" s="910">
        <v>0</v>
      </c>
      <c r="G417" s="911">
        <f>+F417/E417</f>
        <v>0</v>
      </c>
      <c r="H417" s="423">
        <f>+H418+H421+H423+H425+H427+H429</f>
        <v>251965.6</v>
      </c>
      <c r="I417" s="475">
        <f>+I418+I421+I423+I425+I427+I429</f>
        <v>54261.599999999999</v>
      </c>
      <c r="J417" s="420">
        <f t="shared" si="81"/>
        <v>21.535320694571002</v>
      </c>
    </row>
    <row r="418" spans="1:10" ht="18.75" customHeight="1" x14ac:dyDescent="0.2">
      <c r="A418" s="348" t="s">
        <v>163</v>
      </c>
      <c r="B418" s="352" t="s">
        <v>1469</v>
      </c>
      <c r="C418" s="859" t="s">
        <v>32</v>
      </c>
      <c r="D418" s="412"/>
      <c r="E418" s="421">
        <v>0</v>
      </c>
      <c r="F418" s="421"/>
      <c r="G418" s="422"/>
      <c r="H418" s="448">
        <f>+H419+H420</f>
        <v>8475</v>
      </c>
      <c r="I418" s="453">
        <f>+I419+I420</f>
        <v>0</v>
      </c>
      <c r="J418" s="453"/>
    </row>
    <row r="419" spans="1:10" ht="18.75" customHeight="1" x14ac:dyDescent="0.2">
      <c r="A419" s="348"/>
      <c r="B419" s="352" t="s">
        <v>1461</v>
      </c>
      <c r="C419" s="859"/>
      <c r="D419" s="412"/>
      <c r="E419" s="421"/>
      <c r="F419" s="421"/>
      <c r="G419" s="422"/>
      <c r="H419" s="448">
        <v>5085</v>
      </c>
      <c r="I419" s="510">
        <v>0</v>
      </c>
      <c r="J419" s="453"/>
    </row>
    <row r="420" spans="1:10" ht="18.75" customHeight="1" x14ac:dyDescent="0.2">
      <c r="A420" s="348"/>
      <c r="B420" s="352" t="s">
        <v>1466</v>
      </c>
      <c r="C420" s="859"/>
      <c r="D420" s="412"/>
      <c r="E420" s="421"/>
      <c r="F420" s="421"/>
      <c r="G420" s="422"/>
      <c r="H420" s="448">
        <v>3390</v>
      </c>
      <c r="I420" s="510">
        <v>0</v>
      </c>
      <c r="J420" s="453"/>
    </row>
    <row r="421" spans="1:10" ht="18.75" customHeight="1" x14ac:dyDescent="0.2">
      <c r="A421" s="407" t="s">
        <v>164</v>
      </c>
      <c r="B421" s="376" t="s">
        <v>1470</v>
      </c>
      <c r="C421" s="394" t="s">
        <v>32</v>
      </c>
      <c r="D421" s="414"/>
      <c r="E421" s="909">
        <v>64</v>
      </c>
      <c r="F421" s="909">
        <v>62</v>
      </c>
      <c r="G421" s="420">
        <f>+F421/E421*100</f>
        <v>96.875</v>
      </c>
      <c r="H421" s="901">
        <f>+H422</f>
        <v>37011.599999999999</v>
      </c>
      <c r="I421" s="510">
        <f>+I422</f>
        <v>37011.599999999999</v>
      </c>
      <c r="J421" s="420">
        <f t="shared" ref="J421:J422" si="82">+I421/H421*100</f>
        <v>100</v>
      </c>
    </row>
    <row r="422" spans="1:10" ht="18.75" customHeight="1" x14ac:dyDescent="0.2">
      <c r="A422" s="348"/>
      <c r="B422" s="352" t="s">
        <v>1461</v>
      </c>
      <c r="C422" s="859"/>
      <c r="D422" s="412"/>
      <c r="E422" s="421"/>
      <c r="F422" s="421"/>
      <c r="G422" s="422"/>
      <c r="H422" s="448">
        <v>37011.599999999999</v>
      </c>
      <c r="I422" s="453">
        <v>37011.599999999999</v>
      </c>
      <c r="J422" s="419">
        <f t="shared" si="82"/>
        <v>100</v>
      </c>
    </row>
    <row r="423" spans="1:10" ht="18.75" customHeight="1" x14ac:dyDescent="0.2">
      <c r="A423" s="407" t="s">
        <v>701</v>
      </c>
      <c r="B423" s="376" t="s">
        <v>1471</v>
      </c>
      <c r="C423" s="394" t="s">
        <v>32</v>
      </c>
      <c r="D423" s="414"/>
      <c r="E423" s="888">
        <v>0</v>
      </c>
      <c r="F423" s="888">
        <v>0</v>
      </c>
      <c r="G423" s="890">
        <v>0</v>
      </c>
      <c r="H423" s="901">
        <f>+H424</f>
        <v>138595</v>
      </c>
      <c r="I423" s="510">
        <f>+I424</f>
        <v>0</v>
      </c>
      <c r="J423" s="453"/>
    </row>
    <row r="424" spans="1:10" ht="18.75" customHeight="1" x14ac:dyDescent="0.2">
      <c r="A424" s="348"/>
      <c r="B424" s="352" t="s">
        <v>1461</v>
      </c>
      <c r="C424" s="859"/>
      <c r="D424" s="412"/>
      <c r="E424" s="421"/>
      <c r="F424" s="421"/>
      <c r="G424" s="891"/>
      <c r="H424" s="448">
        <v>138595</v>
      </c>
      <c r="I424" s="510">
        <v>0</v>
      </c>
      <c r="J424" s="453"/>
    </row>
    <row r="425" spans="1:10" ht="18.75" customHeight="1" x14ac:dyDescent="0.2">
      <c r="A425" s="407" t="s">
        <v>702</v>
      </c>
      <c r="B425" s="376" t="s">
        <v>1472</v>
      </c>
      <c r="C425" s="394" t="s">
        <v>32</v>
      </c>
      <c r="D425" s="414"/>
      <c r="E425" s="888">
        <v>0</v>
      </c>
      <c r="F425" s="888">
        <v>0</v>
      </c>
      <c r="G425" s="890">
        <v>0</v>
      </c>
      <c r="H425" s="901">
        <f>+H426</f>
        <v>52884</v>
      </c>
      <c r="I425" s="453">
        <f>+I426</f>
        <v>0</v>
      </c>
      <c r="J425" s="453"/>
    </row>
    <row r="426" spans="1:10" ht="18.75" customHeight="1" x14ac:dyDescent="0.2">
      <c r="A426" s="407"/>
      <c r="B426" s="352" t="s">
        <v>1461</v>
      </c>
      <c r="C426" s="859"/>
      <c r="D426" s="412"/>
      <c r="E426" s="421"/>
      <c r="F426" s="421"/>
      <c r="G426" s="891"/>
      <c r="H426" s="448">
        <v>52884</v>
      </c>
      <c r="I426" s="510">
        <v>0</v>
      </c>
      <c r="J426" s="453"/>
    </row>
    <row r="427" spans="1:10" ht="18.75" customHeight="1" x14ac:dyDescent="0.2">
      <c r="A427" s="407" t="s">
        <v>703</v>
      </c>
      <c r="B427" s="297" t="s">
        <v>1473</v>
      </c>
      <c r="C427" s="394" t="s">
        <v>32</v>
      </c>
      <c r="D427" s="300" t="s">
        <v>1678</v>
      </c>
      <c r="E427" s="909">
        <v>46</v>
      </c>
      <c r="F427" s="421">
        <v>0</v>
      </c>
      <c r="G427" s="891">
        <v>0</v>
      </c>
      <c r="H427" s="901">
        <f>+H428</f>
        <v>10000</v>
      </c>
      <c r="I427" s="510">
        <f>+I428</f>
        <v>17250</v>
      </c>
      <c r="J427" s="420">
        <f t="shared" ref="J427:J428" si="83">+I427/H427*100</f>
        <v>172.5</v>
      </c>
    </row>
    <row r="428" spans="1:10" ht="18.75" customHeight="1" x14ac:dyDescent="0.2">
      <c r="A428" s="407"/>
      <c r="B428" s="352" t="s">
        <v>1466</v>
      </c>
      <c r="C428" s="859"/>
      <c r="D428" s="412"/>
      <c r="E428" s="421"/>
      <c r="F428" s="421"/>
      <c r="G428" s="891"/>
      <c r="H428" s="448">
        <v>10000</v>
      </c>
      <c r="I428" s="453">
        <v>17250</v>
      </c>
      <c r="J428" s="419">
        <f t="shared" si="83"/>
        <v>172.5</v>
      </c>
    </row>
    <row r="429" spans="1:10" ht="18.75" customHeight="1" x14ac:dyDescent="0.2">
      <c r="A429" s="407" t="s">
        <v>704</v>
      </c>
      <c r="B429" s="376" t="s">
        <v>1474</v>
      </c>
      <c r="C429" s="394" t="s">
        <v>32</v>
      </c>
      <c r="D429" s="414"/>
      <c r="E429" s="909">
        <v>12</v>
      </c>
      <c r="F429" s="421">
        <v>0</v>
      </c>
      <c r="G429" s="891">
        <v>0</v>
      </c>
      <c r="H429" s="901">
        <f>+H430</f>
        <v>5000</v>
      </c>
      <c r="I429" s="453">
        <f>+I430</f>
        <v>0</v>
      </c>
      <c r="J429" s="453"/>
    </row>
    <row r="430" spans="1:10" ht="18.75" customHeight="1" x14ac:dyDescent="0.2">
      <c r="A430" s="407"/>
      <c r="B430" s="352" t="s">
        <v>1466</v>
      </c>
      <c r="C430" s="859"/>
      <c r="D430" s="412"/>
      <c r="E430" s="421"/>
      <c r="F430" s="421"/>
      <c r="G430" s="891"/>
      <c r="H430" s="448">
        <v>5000</v>
      </c>
      <c r="I430" s="510">
        <v>0</v>
      </c>
      <c r="J430" s="453"/>
    </row>
    <row r="431" spans="1:10" ht="18.75" customHeight="1" x14ac:dyDescent="0.2">
      <c r="A431" s="403" t="s">
        <v>1475</v>
      </c>
      <c r="B431" s="400" t="s">
        <v>1476</v>
      </c>
      <c r="C431" s="859"/>
      <c r="D431" s="40"/>
      <c r="E431" s="418">
        <v>0</v>
      </c>
      <c r="F431" s="418"/>
      <c r="G431" s="419"/>
      <c r="H431" s="418">
        <v>0</v>
      </c>
      <c r="I431" s="452">
        <v>0</v>
      </c>
      <c r="J431" s="419"/>
    </row>
    <row r="432" spans="1:10" ht="18.75" customHeight="1" x14ac:dyDescent="0.2">
      <c r="A432" s="407" t="s">
        <v>1350</v>
      </c>
      <c r="B432" s="352" t="s">
        <v>1477</v>
      </c>
      <c r="C432" s="859" t="s">
        <v>32</v>
      </c>
      <c r="D432" s="412" t="s">
        <v>551</v>
      </c>
      <c r="E432" s="421">
        <v>0</v>
      </c>
      <c r="F432" s="421"/>
      <c r="G432" s="422"/>
      <c r="H432" s="448">
        <v>0</v>
      </c>
      <c r="I432" s="453">
        <v>0</v>
      </c>
      <c r="J432" s="453"/>
    </row>
    <row r="433" spans="1:10" ht="18.75" customHeight="1" x14ac:dyDescent="0.2">
      <c r="A433" s="409">
        <v>3</v>
      </c>
      <c r="B433" s="342" t="s">
        <v>1478</v>
      </c>
      <c r="C433" s="385" t="s">
        <v>32</v>
      </c>
      <c r="D433" s="415"/>
      <c r="E433" s="424"/>
      <c r="F433" s="424"/>
      <c r="G433" s="417"/>
      <c r="H433" s="424">
        <f>+H434+H441+H448</f>
        <v>291040</v>
      </c>
      <c r="I433" s="451">
        <f>+I434+I441+I448</f>
        <v>0</v>
      </c>
      <c r="J433" s="417">
        <f>+I433/H433</f>
        <v>0</v>
      </c>
    </row>
    <row r="434" spans="1:10" ht="27" customHeight="1" x14ac:dyDescent="0.2">
      <c r="A434" s="403" t="s">
        <v>1479</v>
      </c>
      <c r="B434" s="400" t="s">
        <v>1480</v>
      </c>
      <c r="C434" s="859" t="s">
        <v>32</v>
      </c>
      <c r="D434" s="412" t="s">
        <v>34</v>
      </c>
      <c r="E434" s="418"/>
      <c r="F434" s="418"/>
      <c r="G434" s="419"/>
      <c r="H434" s="418">
        <f>+H435+H438</f>
        <v>37600</v>
      </c>
      <c r="I434" s="452">
        <f>+I435+I438</f>
        <v>0</v>
      </c>
      <c r="J434" s="419">
        <f>+I434/H434</f>
        <v>0</v>
      </c>
    </row>
    <row r="435" spans="1:10" ht="18.75" customHeight="1" x14ac:dyDescent="0.2">
      <c r="A435" s="407" t="s">
        <v>1481</v>
      </c>
      <c r="B435" s="402" t="s">
        <v>1482</v>
      </c>
      <c r="C435" s="40"/>
      <c r="D435" s="906"/>
      <c r="E435" s="907"/>
      <c r="F435" s="907"/>
      <c r="G435" s="908"/>
      <c r="H435" s="901">
        <f>+H436+H437</f>
        <v>17300</v>
      </c>
      <c r="I435" s="453">
        <f>+I436+I437</f>
        <v>0</v>
      </c>
      <c r="J435" s="453"/>
    </row>
    <row r="436" spans="1:10" ht="18.75" customHeight="1" x14ac:dyDescent="0.2">
      <c r="A436" s="407"/>
      <c r="B436" s="352" t="s">
        <v>1461</v>
      </c>
      <c r="C436" s="859" t="s">
        <v>32</v>
      </c>
      <c r="D436" s="412"/>
      <c r="E436" s="421">
        <v>92</v>
      </c>
      <c r="F436" s="425">
        <v>24</v>
      </c>
      <c r="G436" s="419">
        <f>+F436/E436*100</f>
        <v>26.086956521739129</v>
      </c>
      <c r="H436" s="448">
        <v>2300</v>
      </c>
      <c r="I436" s="510">
        <v>0</v>
      </c>
      <c r="J436" s="453"/>
    </row>
    <row r="437" spans="1:10" ht="18.75" customHeight="1" x14ac:dyDescent="0.2">
      <c r="A437" s="407"/>
      <c r="B437" s="352" t="s">
        <v>1466</v>
      </c>
      <c r="C437" s="859" t="s">
        <v>32</v>
      </c>
      <c r="D437" s="412"/>
      <c r="E437" s="421"/>
      <c r="F437" s="421"/>
      <c r="G437" s="891"/>
      <c r="H437" s="448">
        <v>15000</v>
      </c>
      <c r="I437" s="510">
        <v>0</v>
      </c>
      <c r="J437" s="453"/>
    </row>
    <row r="438" spans="1:10" ht="18.75" customHeight="1" x14ac:dyDescent="0.2">
      <c r="A438" s="407" t="s">
        <v>1483</v>
      </c>
      <c r="B438" s="903" t="s">
        <v>2497</v>
      </c>
      <c r="C438" s="859" t="s">
        <v>32</v>
      </c>
      <c r="D438" s="412"/>
      <c r="E438" s="421">
        <v>92</v>
      </c>
      <c r="F438" s="421">
        <v>0</v>
      </c>
      <c r="G438" s="891">
        <f>+F438/E438</f>
        <v>0</v>
      </c>
      <c r="H438" s="448">
        <f>+H439+H440</f>
        <v>20300</v>
      </c>
      <c r="I438" s="453">
        <f>+I439+I440</f>
        <v>0</v>
      </c>
      <c r="J438" s="453"/>
    </row>
    <row r="439" spans="1:10" ht="18.75" customHeight="1" x14ac:dyDescent="0.2">
      <c r="A439" s="407"/>
      <c r="B439" s="352" t="s">
        <v>1461</v>
      </c>
      <c r="C439" s="859"/>
      <c r="D439" s="412"/>
      <c r="E439" s="421"/>
      <c r="F439" s="421"/>
      <c r="G439" s="891"/>
      <c r="H439" s="901">
        <v>2300</v>
      </c>
      <c r="I439" s="510">
        <v>0</v>
      </c>
      <c r="J439" s="453"/>
    </row>
    <row r="440" spans="1:10" ht="18.75" customHeight="1" x14ac:dyDescent="0.2">
      <c r="A440" s="407"/>
      <c r="B440" s="352" t="s">
        <v>1466</v>
      </c>
      <c r="C440" s="859"/>
      <c r="D440" s="412"/>
      <c r="E440" s="421"/>
      <c r="F440" s="421"/>
      <c r="G440" s="891"/>
      <c r="H440" s="901">
        <v>18000</v>
      </c>
      <c r="I440" s="510">
        <v>0</v>
      </c>
      <c r="J440" s="453"/>
    </row>
    <row r="441" spans="1:10" ht="28.5" customHeight="1" x14ac:dyDescent="0.2">
      <c r="A441" s="403" t="s">
        <v>1484</v>
      </c>
      <c r="B441" s="400" t="s">
        <v>1485</v>
      </c>
      <c r="C441" s="859" t="s">
        <v>32</v>
      </c>
      <c r="D441" s="412" t="s">
        <v>1486</v>
      </c>
      <c r="E441" s="418">
        <v>46</v>
      </c>
      <c r="F441" s="418">
        <v>46</v>
      </c>
      <c r="G441" s="419">
        <f>+F441/E441*100</f>
        <v>100</v>
      </c>
      <c r="H441" s="423">
        <f>+H442+H444+H446</f>
        <v>253440</v>
      </c>
      <c r="I441" s="452">
        <f>+I442+I444+I446</f>
        <v>0</v>
      </c>
      <c r="J441" s="419">
        <f>+I441/H441</f>
        <v>0</v>
      </c>
    </row>
    <row r="442" spans="1:10" ht="18.75" customHeight="1" x14ac:dyDescent="0.2">
      <c r="A442" s="407" t="s">
        <v>1487</v>
      </c>
      <c r="B442" s="297" t="s">
        <v>1488</v>
      </c>
      <c r="C442" s="859" t="s">
        <v>32</v>
      </c>
      <c r="D442" s="412"/>
      <c r="E442" s="425">
        <v>46</v>
      </c>
      <c r="F442" s="425">
        <v>0</v>
      </c>
      <c r="G442" s="419">
        <f>+F442/E442</f>
        <v>0</v>
      </c>
      <c r="H442" s="901">
        <f>+H443</f>
        <v>5000</v>
      </c>
      <c r="I442" s="453">
        <f>+I443</f>
        <v>0</v>
      </c>
      <c r="J442" s="453"/>
    </row>
    <row r="443" spans="1:10" ht="18.75" customHeight="1" x14ac:dyDescent="0.2">
      <c r="A443" s="407"/>
      <c r="B443" s="352" t="s">
        <v>1466</v>
      </c>
      <c r="C443" s="859"/>
      <c r="D443" s="412"/>
      <c r="E443" s="421"/>
      <c r="F443" s="421"/>
      <c r="G443" s="419"/>
      <c r="H443" s="448">
        <v>5000</v>
      </c>
      <c r="I443" s="510">
        <v>0</v>
      </c>
      <c r="J443" s="453"/>
    </row>
    <row r="444" spans="1:10" ht="25.5" customHeight="1" x14ac:dyDescent="0.2">
      <c r="A444" s="407" t="s">
        <v>1489</v>
      </c>
      <c r="B444" s="376" t="s">
        <v>1490</v>
      </c>
      <c r="C444" s="859" t="s">
        <v>32</v>
      </c>
      <c r="D444" s="412" t="s">
        <v>1560</v>
      </c>
      <c r="E444" s="421">
        <v>46</v>
      </c>
      <c r="F444" s="421">
        <v>0</v>
      </c>
      <c r="G444" s="419">
        <f>+F444/E444*100</f>
        <v>0</v>
      </c>
      <c r="H444" s="901">
        <f>+H445</f>
        <v>238400</v>
      </c>
      <c r="I444" s="453">
        <f>+I445</f>
        <v>0</v>
      </c>
      <c r="J444" s="453"/>
    </row>
    <row r="445" spans="1:10" ht="18.75" customHeight="1" x14ac:dyDescent="0.2">
      <c r="A445" s="407"/>
      <c r="B445" s="352" t="s">
        <v>1461</v>
      </c>
      <c r="C445" s="859"/>
      <c r="D445" s="412"/>
      <c r="E445" s="421"/>
      <c r="F445" s="421"/>
      <c r="G445" s="419"/>
      <c r="H445" s="448">
        <v>238400</v>
      </c>
      <c r="I445" s="510">
        <v>0</v>
      </c>
      <c r="J445" s="453"/>
    </row>
    <row r="446" spans="1:10" ht="26.25" customHeight="1" x14ac:dyDescent="0.2">
      <c r="A446" s="407" t="s">
        <v>1491</v>
      </c>
      <c r="B446" s="376" t="s">
        <v>1492</v>
      </c>
      <c r="C446" s="859" t="s">
        <v>32</v>
      </c>
      <c r="D446" s="412" t="s">
        <v>1559</v>
      </c>
      <c r="E446" s="425">
        <v>46</v>
      </c>
      <c r="F446" s="425">
        <v>0</v>
      </c>
      <c r="G446" s="419">
        <f>+F446/E446</f>
        <v>0</v>
      </c>
      <c r="H446" s="901">
        <f>+H447</f>
        <v>10040</v>
      </c>
      <c r="I446" s="453">
        <f>+I447</f>
        <v>0</v>
      </c>
      <c r="J446" s="453"/>
    </row>
    <row r="447" spans="1:10" ht="21.75" customHeight="1" x14ac:dyDescent="0.2">
      <c r="A447" s="407"/>
      <c r="B447" s="352" t="s">
        <v>1466</v>
      </c>
      <c r="C447" s="859"/>
      <c r="D447" s="412"/>
      <c r="E447" s="421"/>
      <c r="F447" s="421"/>
      <c r="G447" s="422"/>
      <c r="H447" s="448">
        <v>10040</v>
      </c>
      <c r="I447" s="510">
        <v>0</v>
      </c>
      <c r="J447" s="453"/>
    </row>
    <row r="448" spans="1:10" ht="27" customHeight="1" x14ac:dyDescent="0.2">
      <c r="A448" s="905" t="s">
        <v>1493</v>
      </c>
      <c r="B448" s="400" t="s">
        <v>1494</v>
      </c>
      <c r="C448" s="859" t="s">
        <v>32</v>
      </c>
      <c r="D448" s="412" t="s">
        <v>1495</v>
      </c>
      <c r="E448" s="418">
        <v>46</v>
      </c>
      <c r="F448" s="418">
        <v>0</v>
      </c>
      <c r="G448" s="419">
        <f>+F448/E448</f>
        <v>0</v>
      </c>
      <c r="H448" s="418">
        <v>0</v>
      </c>
      <c r="I448" s="452">
        <v>0</v>
      </c>
      <c r="J448" s="419"/>
    </row>
    <row r="449" spans="1:10" ht="27.75" customHeight="1" x14ac:dyDescent="0.2">
      <c r="A449" s="348" t="s">
        <v>1496</v>
      </c>
      <c r="B449" s="352" t="s">
        <v>1497</v>
      </c>
      <c r="C449" s="859" t="s">
        <v>32</v>
      </c>
      <c r="D449" s="412"/>
      <c r="E449" s="421"/>
      <c r="F449" s="421"/>
      <c r="G449" s="422"/>
      <c r="H449" s="448">
        <v>0</v>
      </c>
      <c r="I449" s="453">
        <v>0</v>
      </c>
      <c r="J449" s="453"/>
    </row>
    <row r="450" spans="1:10" ht="18.75" customHeight="1" x14ac:dyDescent="0.2">
      <c r="A450" s="407" t="s">
        <v>1498</v>
      </c>
      <c r="B450" s="402" t="s">
        <v>1499</v>
      </c>
      <c r="C450" s="859" t="s">
        <v>32</v>
      </c>
      <c r="D450" s="412"/>
      <c r="E450" s="421"/>
      <c r="F450" s="421"/>
      <c r="G450" s="422"/>
      <c r="H450" s="448">
        <v>0</v>
      </c>
      <c r="I450" s="453">
        <v>0</v>
      </c>
      <c r="J450" s="453"/>
    </row>
    <row r="451" spans="1:10" ht="18.75" customHeight="1" x14ac:dyDescent="0.2">
      <c r="A451" s="409">
        <v>4</v>
      </c>
      <c r="B451" s="342" t="s">
        <v>1500</v>
      </c>
      <c r="C451" s="385" t="s">
        <v>32</v>
      </c>
      <c r="D451" s="385"/>
      <c r="E451" s="424"/>
      <c r="F451" s="424"/>
      <c r="G451" s="417"/>
      <c r="H451" s="424">
        <f>+H452+H457</f>
        <v>4000</v>
      </c>
      <c r="I451" s="451">
        <f>+I452+I457</f>
        <v>0</v>
      </c>
      <c r="J451" s="417">
        <f>+I451/H451</f>
        <v>0</v>
      </c>
    </row>
    <row r="452" spans="1:10" ht="18.75" customHeight="1" x14ac:dyDescent="0.2">
      <c r="A452" s="905" t="s">
        <v>1501</v>
      </c>
      <c r="B452" s="400" t="s">
        <v>1502</v>
      </c>
      <c r="C452" s="859" t="s">
        <v>32</v>
      </c>
      <c r="D452" s="859"/>
      <c r="E452" s="418">
        <v>92</v>
      </c>
      <c r="F452" s="418">
        <v>0</v>
      </c>
      <c r="G452" s="419">
        <f>+F452/E452</f>
        <v>0</v>
      </c>
      <c r="H452" s="423">
        <f>+H453+H455</f>
        <v>4000</v>
      </c>
      <c r="I452" s="452">
        <f>+I453+I455</f>
        <v>0</v>
      </c>
      <c r="J452" s="419">
        <f>+I452/H452</f>
        <v>0</v>
      </c>
    </row>
    <row r="453" spans="1:10" ht="18.75" customHeight="1" x14ac:dyDescent="0.2">
      <c r="A453" s="348" t="s">
        <v>1367</v>
      </c>
      <c r="B453" s="352" t="s">
        <v>1503</v>
      </c>
      <c r="C453" s="859" t="s">
        <v>32</v>
      </c>
      <c r="D453" s="412" t="s">
        <v>1495</v>
      </c>
      <c r="E453" s="421">
        <v>92</v>
      </c>
      <c r="F453" s="421">
        <v>0</v>
      </c>
      <c r="G453" s="419">
        <f>+F453/E453</f>
        <v>0</v>
      </c>
      <c r="H453" s="448">
        <f>+H454</f>
        <v>1000</v>
      </c>
      <c r="I453" s="453">
        <f>+I454</f>
        <v>0</v>
      </c>
      <c r="J453" s="453"/>
    </row>
    <row r="454" spans="1:10" ht="18.75" customHeight="1" x14ac:dyDescent="0.2">
      <c r="A454" s="407"/>
      <c r="B454" s="352" t="s">
        <v>1466</v>
      </c>
      <c r="C454" s="859"/>
      <c r="D454" s="412"/>
      <c r="E454" s="421"/>
      <c r="F454" s="421"/>
      <c r="G454" s="419"/>
      <c r="H454" s="448">
        <v>1000</v>
      </c>
      <c r="I454" s="510">
        <v>0</v>
      </c>
      <c r="J454" s="453"/>
    </row>
    <row r="455" spans="1:10" ht="18.75" customHeight="1" x14ac:dyDescent="0.2">
      <c r="A455" s="407" t="s">
        <v>1370</v>
      </c>
      <c r="B455" s="376" t="s">
        <v>1504</v>
      </c>
      <c r="C455" s="859" t="s">
        <v>32</v>
      </c>
      <c r="D455" s="412" t="s">
        <v>62</v>
      </c>
      <c r="E455" s="421">
        <v>92</v>
      </c>
      <c r="F455" s="421">
        <v>0</v>
      </c>
      <c r="G455" s="419">
        <f>+F455/E455</f>
        <v>0</v>
      </c>
      <c r="H455" s="901">
        <f>+H456</f>
        <v>3000</v>
      </c>
      <c r="I455" s="453">
        <f>+I456</f>
        <v>0</v>
      </c>
      <c r="J455" s="453"/>
    </row>
    <row r="456" spans="1:10" ht="18.75" customHeight="1" x14ac:dyDescent="0.2">
      <c r="A456" s="297"/>
      <c r="B456" s="352" t="s">
        <v>1466</v>
      </c>
      <c r="C456" s="859"/>
      <c r="D456" s="412"/>
      <c r="E456" s="421"/>
      <c r="F456" s="421"/>
      <c r="G456" s="422"/>
      <c r="H456" s="448">
        <v>3000</v>
      </c>
      <c r="I456" s="510">
        <v>0</v>
      </c>
      <c r="J456" s="453"/>
    </row>
    <row r="457" spans="1:10" ht="27.75" customHeight="1" x14ac:dyDescent="0.2">
      <c r="A457" s="905" t="s">
        <v>1505</v>
      </c>
      <c r="B457" s="400" t="s">
        <v>1506</v>
      </c>
      <c r="C457" s="859" t="s">
        <v>32</v>
      </c>
      <c r="D457" s="412" t="s">
        <v>1558</v>
      </c>
      <c r="E457" s="418">
        <v>0</v>
      </c>
      <c r="F457" s="418">
        <v>0</v>
      </c>
      <c r="G457" s="419"/>
      <c r="H457" s="418">
        <f>+SUM(H458:H460)</f>
        <v>0</v>
      </c>
      <c r="I457" s="452">
        <f>+SUM(I458:I460)</f>
        <v>0</v>
      </c>
      <c r="J457" s="419"/>
    </row>
    <row r="458" spans="1:10" ht="18.75" customHeight="1" x14ac:dyDescent="0.2">
      <c r="A458" s="407" t="s">
        <v>1379</v>
      </c>
      <c r="B458" s="352" t="s">
        <v>1507</v>
      </c>
      <c r="C458" s="859" t="s">
        <v>32</v>
      </c>
      <c r="D458" s="412"/>
      <c r="E458" s="418">
        <v>0</v>
      </c>
      <c r="F458" s="418">
        <v>0</v>
      </c>
      <c r="G458" s="419"/>
      <c r="H458" s="448">
        <v>0</v>
      </c>
      <c r="I458" s="453">
        <v>0</v>
      </c>
      <c r="J458" s="453"/>
    </row>
    <row r="459" spans="1:10" ht="28.5" customHeight="1" x14ac:dyDescent="0.2">
      <c r="A459" s="407" t="s">
        <v>1381</v>
      </c>
      <c r="B459" s="352" t="s">
        <v>1508</v>
      </c>
      <c r="C459" s="859" t="s">
        <v>32</v>
      </c>
      <c r="D459" s="412"/>
      <c r="E459" s="418">
        <v>0</v>
      </c>
      <c r="F459" s="418">
        <v>0</v>
      </c>
      <c r="G459" s="419"/>
      <c r="H459" s="448">
        <v>0</v>
      </c>
      <c r="I459" s="453">
        <v>0</v>
      </c>
      <c r="J459" s="453"/>
    </row>
    <row r="460" spans="1:10" ht="27" customHeight="1" x14ac:dyDescent="0.2">
      <c r="A460" s="407" t="s">
        <v>1383</v>
      </c>
      <c r="B460" s="352" t="s">
        <v>1509</v>
      </c>
      <c r="C460" s="859" t="s">
        <v>32</v>
      </c>
      <c r="D460" s="412"/>
      <c r="E460" s="418">
        <v>0</v>
      </c>
      <c r="F460" s="418">
        <v>0</v>
      </c>
      <c r="G460" s="419"/>
      <c r="H460" s="448">
        <v>0</v>
      </c>
      <c r="I460" s="453">
        <v>0</v>
      </c>
      <c r="J460" s="453"/>
    </row>
    <row r="461" spans="1:10" ht="30.75" customHeight="1" x14ac:dyDescent="0.2">
      <c r="A461" s="905" t="s">
        <v>1510</v>
      </c>
      <c r="B461" s="400" t="s">
        <v>1511</v>
      </c>
      <c r="C461" s="859" t="s">
        <v>32</v>
      </c>
      <c r="D461" s="412" t="s">
        <v>1557</v>
      </c>
      <c r="E461" s="418"/>
      <c r="F461" s="418"/>
      <c r="G461" s="419"/>
      <c r="H461" s="418">
        <f>+SUM(H462:H464)</f>
        <v>0</v>
      </c>
      <c r="I461" s="452">
        <f>+SUM(I462:I464)</f>
        <v>0</v>
      </c>
      <c r="J461" s="419"/>
    </row>
    <row r="462" spans="1:10" ht="28.5" customHeight="1" x14ac:dyDescent="0.2">
      <c r="A462" s="407" t="s">
        <v>1512</v>
      </c>
      <c r="B462" s="352" t="s">
        <v>1513</v>
      </c>
      <c r="C462" s="859" t="s">
        <v>32</v>
      </c>
      <c r="D462" s="412"/>
      <c r="E462" s="418"/>
      <c r="F462" s="418"/>
      <c r="G462" s="419"/>
      <c r="H462" s="448">
        <v>0</v>
      </c>
      <c r="I462" s="453">
        <v>0</v>
      </c>
      <c r="J462" s="453"/>
    </row>
    <row r="463" spans="1:10" ht="27" customHeight="1" x14ac:dyDescent="0.2">
      <c r="A463" s="407" t="s">
        <v>1514</v>
      </c>
      <c r="B463" s="352" t="s">
        <v>1515</v>
      </c>
      <c r="C463" s="859" t="s">
        <v>32</v>
      </c>
      <c r="D463" s="412"/>
      <c r="E463" s="418"/>
      <c r="F463" s="418"/>
      <c r="G463" s="419"/>
      <c r="H463" s="448">
        <v>0</v>
      </c>
      <c r="I463" s="453">
        <v>0</v>
      </c>
      <c r="J463" s="453"/>
    </row>
    <row r="464" spans="1:10" ht="25.5" customHeight="1" x14ac:dyDescent="0.2">
      <c r="A464" s="407" t="s">
        <v>1516</v>
      </c>
      <c r="B464" s="352" t="s">
        <v>1517</v>
      </c>
      <c r="C464" s="859" t="s">
        <v>32</v>
      </c>
      <c r="D464" s="412"/>
      <c r="E464" s="418"/>
      <c r="F464" s="418"/>
      <c r="G464" s="419"/>
      <c r="H464" s="448">
        <v>0</v>
      </c>
      <c r="I464" s="453">
        <v>0</v>
      </c>
      <c r="J464" s="453"/>
    </row>
    <row r="465" spans="1:10" ht="18.75" customHeight="1" x14ac:dyDescent="0.2">
      <c r="A465" s="409">
        <v>5</v>
      </c>
      <c r="B465" s="410" t="s">
        <v>1518</v>
      </c>
      <c r="C465" s="385" t="s">
        <v>32</v>
      </c>
      <c r="D465" s="385"/>
      <c r="E465" s="424"/>
      <c r="F465" s="424"/>
      <c r="G465" s="417"/>
      <c r="H465" s="424">
        <f>+H466+H472</f>
        <v>10880</v>
      </c>
      <c r="I465" s="451">
        <f>+I466+I472</f>
        <v>0</v>
      </c>
      <c r="J465" s="417">
        <f>+I465/H465</f>
        <v>0</v>
      </c>
    </row>
    <row r="466" spans="1:10" ht="25.5" x14ac:dyDescent="0.2">
      <c r="A466" s="905" t="s">
        <v>1519</v>
      </c>
      <c r="B466" s="400" t="s">
        <v>1520</v>
      </c>
      <c r="C466" s="859" t="s">
        <v>32</v>
      </c>
      <c r="D466" s="412"/>
      <c r="E466" s="418"/>
      <c r="F466" s="418"/>
      <c r="G466" s="419"/>
      <c r="H466" s="423">
        <f>+H467+H468+H471</f>
        <v>10880</v>
      </c>
      <c r="I466" s="475">
        <f>+I467+I468+I471</f>
        <v>0</v>
      </c>
      <c r="J466" s="419">
        <f>+I466/H466</f>
        <v>0</v>
      </c>
    </row>
    <row r="467" spans="1:10" ht="25.5" x14ac:dyDescent="0.2">
      <c r="A467" s="348" t="s">
        <v>1521</v>
      </c>
      <c r="B467" s="352" t="s">
        <v>1522</v>
      </c>
      <c r="C467" s="859" t="s">
        <v>32</v>
      </c>
      <c r="D467" s="412" t="s">
        <v>62</v>
      </c>
      <c r="E467" s="418">
        <v>46</v>
      </c>
      <c r="F467" s="418">
        <v>0</v>
      </c>
      <c r="G467" s="419">
        <f>+F467/E467*100</f>
        <v>0</v>
      </c>
      <c r="H467" s="448">
        <v>0</v>
      </c>
      <c r="I467" s="453"/>
      <c r="J467" s="453"/>
    </row>
    <row r="468" spans="1:10" ht="25.5" customHeight="1" x14ac:dyDescent="0.2">
      <c r="A468" s="348" t="s">
        <v>1523</v>
      </c>
      <c r="B468" s="352" t="s">
        <v>1524</v>
      </c>
      <c r="C468" s="859" t="s">
        <v>32</v>
      </c>
      <c r="D468" s="412" t="s">
        <v>35</v>
      </c>
      <c r="E468" s="418">
        <v>12</v>
      </c>
      <c r="F468" s="418">
        <v>2</v>
      </c>
      <c r="G468" s="419">
        <f>+F468/E468*100</f>
        <v>16.666666666666664</v>
      </c>
      <c r="H468" s="448">
        <f>+H469+H470</f>
        <v>10880</v>
      </c>
      <c r="I468" s="453">
        <f>+I469+I470</f>
        <v>0</v>
      </c>
      <c r="J468" s="453"/>
    </row>
    <row r="469" spans="1:10" ht="18.75" customHeight="1" x14ac:dyDescent="0.2">
      <c r="A469" s="297"/>
      <c r="B469" s="352" t="s">
        <v>1461</v>
      </c>
      <c r="C469" s="859"/>
      <c r="D469" s="412"/>
      <c r="E469" s="418"/>
      <c r="F469" s="418"/>
      <c r="G469" s="419"/>
      <c r="H469" s="901">
        <v>8000</v>
      </c>
      <c r="I469" s="510">
        <v>0</v>
      </c>
      <c r="J469" s="453"/>
    </row>
    <row r="470" spans="1:10" ht="18.75" customHeight="1" x14ac:dyDescent="0.2">
      <c r="A470" s="297"/>
      <c r="B470" s="352" t="s">
        <v>1466</v>
      </c>
      <c r="C470" s="859"/>
      <c r="D470" s="412"/>
      <c r="E470" s="418"/>
      <c r="F470" s="418"/>
      <c r="G470" s="419"/>
      <c r="H470" s="901">
        <v>2880</v>
      </c>
      <c r="I470" s="510">
        <v>0</v>
      </c>
      <c r="J470" s="453"/>
    </row>
    <row r="471" spans="1:10" ht="25.5" customHeight="1" x14ac:dyDescent="0.2">
      <c r="A471" s="348" t="s">
        <v>1525</v>
      </c>
      <c r="B471" s="352" t="s">
        <v>1526</v>
      </c>
      <c r="C471" s="859" t="s">
        <v>32</v>
      </c>
      <c r="D471" s="412"/>
      <c r="E471" s="418"/>
      <c r="F471" s="418"/>
      <c r="G471" s="419"/>
      <c r="H471" s="448">
        <v>0</v>
      </c>
      <c r="I471" s="453">
        <v>0</v>
      </c>
      <c r="J471" s="453"/>
    </row>
    <row r="472" spans="1:10" ht="26.25" customHeight="1" x14ac:dyDescent="0.2">
      <c r="A472" s="905" t="s">
        <v>1527</v>
      </c>
      <c r="B472" s="400" t="s">
        <v>1528</v>
      </c>
      <c r="C472" s="859" t="s">
        <v>32</v>
      </c>
      <c r="D472" s="412"/>
      <c r="E472" s="418"/>
      <c r="F472" s="418"/>
      <c r="G472" s="419"/>
      <c r="H472" s="423">
        <f>+H474+H473</f>
        <v>0</v>
      </c>
      <c r="I472" s="475">
        <f>+I474+I473</f>
        <v>0</v>
      </c>
      <c r="J472" s="419"/>
    </row>
    <row r="473" spans="1:10" ht="18.75" customHeight="1" x14ac:dyDescent="0.2">
      <c r="A473" s="348" t="s">
        <v>1529</v>
      </c>
      <c r="B473" s="402" t="s">
        <v>1530</v>
      </c>
      <c r="C473" s="859" t="s">
        <v>32</v>
      </c>
      <c r="D473" s="412" t="s">
        <v>1555</v>
      </c>
      <c r="E473" s="418">
        <v>46</v>
      </c>
      <c r="F473" s="418">
        <v>0</v>
      </c>
      <c r="G473" s="419">
        <f>+F473/E473</f>
        <v>0</v>
      </c>
      <c r="H473" s="448">
        <v>0</v>
      </c>
      <c r="I473" s="453">
        <v>0</v>
      </c>
      <c r="J473" s="453"/>
    </row>
    <row r="474" spans="1:10" ht="26.25" customHeight="1" x14ac:dyDescent="0.2">
      <c r="A474" s="348" t="s">
        <v>1531</v>
      </c>
      <c r="B474" s="352" t="s">
        <v>1532</v>
      </c>
      <c r="C474" s="859" t="s">
        <v>32</v>
      </c>
      <c r="D474" s="904" t="s">
        <v>1556</v>
      </c>
      <c r="E474" s="418">
        <v>8</v>
      </c>
      <c r="F474" s="418">
        <v>0</v>
      </c>
      <c r="G474" s="419">
        <f>+F474/E474</f>
        <v>0</v>
      </c>
      <c r="H474" s="448">
        <v>0</v>
      </c>
      <c r="I474" s="453">
        <v>0</v>
      </c>
      <c r="J474" s="453"/>
    </row>
    <row r="475" spans="1:10" ht="18.75" customHeight="1" x14ac:dyDescent="0.2">
      <c r="A475" s="399"/>
      <c r="B475" s="404" t="s">
        <v>1533</v>
      </c>
      <c r="C475" s="859"/>
      <c r="D475" s="412"/>
      <c r="E475" s="418"/>
      <c r="F475" s="418"/>
      <c r="G475" s="420"/>
      <c r="H475" s="423">
        <f>+H465+H451+H433+H416+H392</f>
        <v>1463072</v>
      </c>
      <c r="I475" s="475">
        <f>+I465+I451+I433+I416+I392</f>
        <v>379761.6</v>
      </c>
      <c r="J475" s="420">
        <f t="shared" ref="J475:J499" si="84">+I475/H475*100</f>
        <v>25.956453270925834</v>
      </c>
    </row>
    <row r="476" spans="1:10" ht="18.75" customHeight="1" x14ac:dyDescent="0.2">
      <c r="A476" s="409">
        <v>6</v>
      </c>
      <c r="B476" s="411" t="s">
        <v>1562</v>
      </c>
      <c r="C476" s="385"/>
      <c r="D476" s="385"/>
      <c r="E476" s="424"/>
      <c r="F476" s="424"/>
      <c r="G476" s="417"/>
      <c r="H476" s="424">
        <f>+H477+H483</f>
        <v>350350</v>
      </c>
      <c r="I476" s="451">
        <f>+I477+I483</f>
        <v>149699.4</v>
      </c>
      <c r="J476" s="417">
        <f t="shared" si="84"/>
        <v>42.728528614242897</v>
      </c>
    </row>
    <row r="477" spans="1:10" ht="18.75" customHeight="1" x14ac:dyDescent="0.2">
      <c r="A477" s="905" t="s">
        <v>1534</v>
      </c>
      <c r="B477" s="400" t="s">
        <v>1535</v>
      </c>
      <c r="C477" s="859"/>
      <c r="D477" s="412"/>
      <c r="E477" s="418"/>
      <c r="F477" s="418"/>
      <c r="G477" s="419"/>
      <c r="H477" s="423">
        <f>+H478+H479+H481</f>
        <v>24800</v>
      </c>
      <c r="I477" s="475">
        <f>+I478+I479+I481</f>
        <v>17300</v>
      </c>
      <c r="J477" s="420">
        <f t="shared" si="84"/>
        <v>69.758064516129039</v>
      </c>
    </row>
    <row r="478" spans="1:10" ht="18.75" customHeight="1" x14ac:dyDescent="0.2">
      <c r="A478" s="348" t="s">
        <v>1395</v>
      </c>
      <c r="B478" s="352" t="s">
        <v>1536</v>
      </c>
      <c r="C478" s="859" t="s">
        <v>32</v>
      </c>
      <c r="D478" s="412"/>
      <c r="E478" s="418"/>
      <c r="F478" s="418"/>
      <c r="G478" s="419"/>
      <c r="H478" s="448">
        <v>0</v>
      </c>
      <c r="I478" s="453">
        <v>0</v>
      </c>
      <c r="J478" s="419"/>
    </row>
    <row r="479" spans="1:10" ht="18.75" customHeight="1" x14ac:dyDescent="0.2">
      <c r="A479" s="348" t="s">
        <v>1397</v>
      </c>
      <c r="B479" s="352" t="s">
        <v>1537</v>
      </c>
      <c r="C479" s="859" t="s">
        <v>32</v>
      </c>
      <c r="D479" s="412" t="s">
        <v>1369</v>
      </c>
      <c r="E479" s="418">
        <v>12</v>
      </c>
      <c r="F479" s="418">
        <v>6</v>
      </c>
      <c r="G479" s="419">
        <f>+F479/E479*100</f>
        <v>50</v>
      </c>
      <c r="H479" s="448">
        <f>+H480</f>
        <v>12000</v>
      </c>
      <c r="I479" s="453">
        <f>+I480</f>
        <v>17300</v>
      </c>
      <c r="J479" s="419">
        <f t="shared" si="84"/>
        <v>144.16666666666666</v>
      </c>
    </row>
    <row r="480" spans="1:10" ht="18.75" customHeight="1" x14ac:dyDescent="0.2">
      <c r="A480" s="407"/>
      <c r="B480" s="352" t="s">
        <v>1466</v>
      </c>
      <c r="C480" s="859"/>
      <c r="D480" s="412"/>
      <c r="E480" s="418"/>
      <c r="F480" s="418"/>
      <c r="G480" s="419"/>
      <c r="H480" s="448">
        <v>12000</v>
      </c>
      <c r="I480" s="453">
        <f>8000+6000+3000+300</f>
        <v>17300</v>
      </c>
      <c r="J480" s="419">
        <f t="shared" si="84"/>
        <v>144.16666666666666</v>
      </c>
    </row>
    <row r="481" spans="1:10" ht="18.75" customHeight="1" x14ac:dyDescent="0.2">
      <c r="A481" s="348" t="s">
        <v>1538</v>
      </c>
      <c r="B481" s="352" t="s">
        <v>1539</v>
      </c>
      <c r="C481" s="40"/>
      <c r="D481" s="40"/>
      <c r="E481" s="26"/>
      <c r="F481" s="418">
        <v>0</v>
      </c>
      <c r="G481" s="419">
        <f>+F481/E482</f>
        <v>0</v>
      </c>
      <c r="H481" s="448">
        <f>+H482</f>
        <v>12800</v>
      </c>
      <c r="I481" s="453">
        <f>+I482</f>
        <v>0</v>
      </c>
      <c r="J481" s="419">
        <f t="shared" si="84"/>
        <v>0</v>
      </c>
    </row>
    <row r="482" spans="1:10" ht="18.75" customHeight="1" x14ac:dyDescent="0.2">
      <c r="A482" s="297"/>
      <c r="B482" s="352" t="s">
        <v>1466</v>
      </c>
      <c r="C482" s="859" t="s">
        <v>32</v>
      </c>
      <c r="D482" s="412" t="s">
        <v>1553</v>
      </c>
      <c r="E482" s="418">
        <v>1</v>
      </c>
      <c r="F482" s="418"/>
      <c r="G482" s="419"/>
      <c r="H482" s="448">
        <f>11300+1500</f>
        <v>12800</v>
      </c>
      <c r="I482" s="510"/>
      <c r="J482" s="419">
        <f t="shared" si="84"/>
        <v>0</v>
      </c>
    </row>
    <row r="483" spans="1:10" ht="18.75" customHeight="1" x14ac:dyDescent="0.2">
      <c r="A483" s="409">
        <v>7</v>
      </c>
      <c r="B483" s="411" t="s">
        <v>751</v>
      </c>
      <c r="C483" s="385"/>
      <c r="D483" s="385"/>
      <c r="E483" s="424"/>
      <c r="F483" s="424"/>
      <c r="G483" s="417"/>
      <c r="H483" s="424">
        <f>+H484+H486+H488</f>
        <v>325550</v>
      </c>
      <c r="I483" s="451">
        <f>+I484+I486+I488</f>
        <v>132399.4</v>
      </c>
      <c r="J483" s="417">
        <f t="shared" si="84"/>
        <v>40.669451697127933</v>
      </c>
    </row>
    <row r="484" spans="1:10" ht="18.75" customHeight="1" x14ac:dyDescent="0.2">
      <c r="A484" s="407" t="s">
        <v>728</v>
      </c>
      <c r="B484" s="376" t="s">
        <v>1540</v>
      </c>
      <c r="C484" s="859" t="s">
        <v>32</v>
      </c>
      <c r="D484" s="412" t="s">
        <v>1369</v>
      </c>
      <c r="E484" s="418">
        <v>12</v>
      </c>
      <c r="F484" s="418">
        <v>6</v>
      </c>
      <c r="G484" s="419">
        <f>+F484/E484*100</f>
        <v>50</v>
      </c>
      <c r="H484" s="901">
        <f>+H485</f>
        <v>210400</v>
      </c>
      <c r="I484" s="510">
        <f>+I485</f>
        <v>102150</v>
      </c>
      <c r="J484" s="420">
        <f t="shared" si="84"/>
        <v>48.550380228136881</v>
      </c>
    </row>
    <row r="485" spans="1:10" ht="18.75" customHeight="1" x14ac:dyDescent="0.2">
      <c r="A485" s="407"/>
      <c r="B485" s="352" t="s">
        <v>1466</v>
      </c>
      <c r="C485" s="859"/>
      <c r="D485" s="412"/>
      <c r="E485" s="418"/>
      <c r="F485" s="418"/>
      <c r="G485" s="419"/>
      <c r="H485" s="448">
        <v>210400</v>
      </c>
      <c r="I485" s="453">
        <f>60150+(3000*7)+4500+4000+2500+10000</f>
        <v>102150</v>
      </c>
      <c r="J485" s="419">
        <f t="shared" si="84"/>
        <v>48.550380228136881</v>
      </c>
    </row>
    <row r="486" spans="1:10" ht="18.75" customHeight="1" x14ac:dyDescent="0.2">
      <c r="A486" s="407" t="s">
        <v>1404</v>
      </c>
      <c r="B486" s="376" t="s">
        <v>1541</v>
      </c>
      <c r="C486" s="859" t="s">
        <v>32</v>
      </c>
      <c r="D486" s="412" t="s">
        <v>414</v>
      </c>
      <c r="E486" s="418">
        <v>1</v>
      </c>
      <c r="F486" s="418">
        <v>1</v>
      </c>
      <c r="G486" s="419">
        <f>+F486/E486*100</f>
        <v>100</v>
      </c>
      <c r="H486" s="901">
        <f>+H487</f>
        <v>107850</v>
      </c>
      <c r="I486" s="510">
        <f>+I487</f>
        <v>21907.4</v>
      </c>
      <c r="J486" s="420">
        <f t="shared" si="84"/>
        <v>20.312841910060271</v>
      </c>
    </row>
    <row r="487" spans="1:10" ht="18.75" customHeight="1" x14ac:dyDescent="0.2">
      <c r="A487" s="407"/>
      <c r="B487" s="352" t="s">
        <v>1461</v>
      </c>
      <c r="C487" s="859"/>
      <c r="D487" s="412"/>
      <c r="E487" s="418"/>
      <c r="F487" s="418"/>
      <c r="G487" s="419"/>
      <c r="H487" s="448">
        <v>107850</v>
      </c>
      <c r="I487" s="453">
        <f>30598.4-8691</f>
        <v>21907.4</v>
      </c>
      <c r="J487" s="419">
        <f t="shared" si="84"/>
        <v>20.312841910060271</v>
      </c>
    </row>
    <row r="488" spans="1:10" ht="18.75" customHeight="1" x14ac:dyDescent="0.2">
      <c r="A488" s="407" t="s">
        <v>1542</v>
      </c>
      <c r="B488" s="376" t="s">
        <v>1543</v>
      </c>
      <c r="C488" s="859" t="s">
        <v>32</v>
      </c>
      <c r="D488" s="412" t="s">
        <v>1369</v>
      </c>
      <c r="E488" s="418">
        <v>12</v>
      </c>
      <c r="F488" s="418">
        <v>6</v>
      </c>
      <c r="G488" s="419">
        <f>+F488/E488*100</f>
        <v>50</v>
      </c>
      <c r="H488" s="901">
        <f>+H489</f>
        <v>7300</v>
      </c>
      <c r="I488" s="510">
        <f>+I489</f>
        <v>8342</v>
      </c>
      <c r="J488" s="420">
        <f t="shared" si="84"/>
        <v>114.27397260273973</v>
      </c>
    </row>
    <row r="489" spans="1:10" ht="18.75" customHeight="1" x14ac:dyDescent="0.2">
      <c r="A489" s="407"/>
      <c r="B489" s="352" t="s">
        <v>1466</v>
      </c>
      <c r="C489" s="859"/>
      <c r="D489" s="412"/>
      <c r="E489" s="418"/>
      <c r="F489" s="418"/>
      <c r="G489" s="419"/>
      <c r="H489" s="448">
        <v>7300</v>
      </c>
      <c r="I489" s="453">
        <f>500+250+500+7092</f>
        <v>8342</v>
      </c>
      <c r="J489" s="419">
        <f t="shared" si="84"/>
        <v>114.27397260273973</v>
      </c>
    </row>
    <row r="490" spans="1:10" ht="18.75" customHeight="1" x14ac:dyDescent="0.2">
      <c r="A490" s="905" t="s">
        <v>1544</v>
      </c>
      <c r="B490" s="400" t="s">
        <v>1545</v>
      </c>
      <c r="C490" s="859"/>
      <c r="D490" s="412"/>
      <c r="E490" s="418"/>
      <c r="F490" s="418"/>
      <c r="G490" s="419"/>
      <c r="H490" s="423">
        <f>+H491</f>
        <v>42500</v>
      </c>
      <c r="I490" s="475">
        <f>+I491</f>
        <v>22500</v>
      </c>
      <c r="J490" s="420">
        <f t="shared" si="84"/>
        <v>52.941176470588239</v>
      </c>
    </row>
    <row r="491" spans="1:10" ht="18.75" customHeight="1" x14ac:dyDescent="0.2">
      <c r="A491" s="407" t="s">
        <v>1407</v>
      </c>
      <c r="B491" s="376" t="s">
        <v>1546</v>
      </c>
      <c r="C491" s="859" t="s">
        <v>32</v>
      </c>
      <c r="D491" s="412" t="s">
        <v>1369</v>
      </c>
      <c r="E491" s="418">
        <v>12</v>
      </c>
      <c r="F491" s="418">
        <v>6</v>
      </c>
      <c r="G491" s="419">
        <f>+F491/E491*100</f>
        <v>50</v>
      </c>
      <c r="H491" s="901">
        <f>+H492+H493</f>
        <v>42500</v>
      </c>
      <c r="I491" s="510">
        <f>+I492+I493</f>
        <v>22500</v>
      </c>
      <c r="J491" s="420">
        <f t="shared" si="84"/>
        <v>52.941176470588239</v>
      </c>
    </row>
    <row r="492" spans="1:10" ht="18.75" customHeight="1" x14ac:dyDescent="0.2">
      <c r="A492" s="297"/>
      <c r="B492" s="352" t="s">
        <v>1461</v>
      </c>
      <c r="C492" s="859"/>
      <c r="D492" s="412"/>
      <c r="E492" s="418"/>
      <c r="F492" s="418"/>
      <c r="G492" s="419"/>
      <c r="H492" s="448">
        <v>22500</v>
      </c>
      <c r="I492" s="453">
        <v>12500</v>
      </c>
      <c r="J492" s="419">
        <f t="shared" si="84"/>
        <v>55.555555555555557</v>
      </c>
    </row>
    <row r="493" spans="1:10" ht="18.75" customHeight="1" x14ac:dyDescent="0.2">
      <c r="A493" s="297"/>
      <c r="B493" s="352" t="s">
        <v>1466</v>
      </c>
      <c r="C493" s="859"/>
      <c r="D493" s="412"/>
      <c r="E493" s="418"/>
      <c r="F493" s="418"/>
      <c r="G493" s="419"/>
      <c r="H493" s="448">
        <v>20000</v>
      </c>
      <c r="I493" s="453">
        <f>10000</f>
        <v>10000</v>
      </c>
      <c r="J493" s="419">
        <f t="shared" si="84"/>
        <v>50</v>
      </c>
    </row>
    <row r="494" spans="1:10" ht="18.75" customHeight="1" x14ac:dyDescent="0.2">
      <c r="A494" s="399"/>
      <c r="B494" s="400" t="s">
        <v>1547</v>
      </c>
      <c r="C494" s="859"/>
      <c r="D494" s="412" t="s">
        <v>99</v>
      </c>
      <c r="E494" s="418">
        <v>1</v>
      </c>
      <c r="F494" s="418">
        <v>1</v>
      </c>
      <c r="G494" s="419">
        <f>+F494/E494*100</f>
        <v>100</v>
      </c>
      <c r="H494" s="423">
        <v>20000</v>
      </c>
      <c r="I494" s="475">
        <f>20000+6400</f>
        <v>26400</v>
      </c>
      <c r="J494" s="420">
        <f t="shared" si="84"/>
        <v>132</v>
      </c>
    </row>
    <row r="495" spans="1:10" ht="18.75" customHeight="1" x14ac:dyDescent="0.2">
      <c r="A495" s="399"/>
      <c r="B495" s="400" t="s">
        <v>1548</v>
      </c>
      <c r="C495" s="859"/>
      <c r="D495" s="412"/>
      <c r="E495" s="418"/>
      <c r="F495" s="418"/>
      <c r="G495" s="419"/>
      <c r="H495" s="423">
        <v>0</v>
      </c>
      <c r="I495" s="475">
        <v>0</v>
      </c>
      <c r="J495" s="419"/>
    </row>
    <row r="496" spans="1:10" ht="18.75" customHeight="1" x14ac:dyDescent="0.2">
      <c r="A496" s="399"/>
      <c r="B496" s="405" t="s">
        <v>1549</v>
      </c>
      <c r="C496" s="859"/>
      <c r="D496" s="412"/>
      <c r="E496" s="418"/>
      <c r="F496" s="418"/>
      <c r="G496" s="419"/>
      <c r="H496" s="423">
        <f>+H476+H490+H494+H495</f>
        <v>412850</v>
      </c>
      <c r="I496" s="475">
        <f>+I476+I490+I494+I495</f>
        <v>198599.4</v>
      </c>
      <c r="J496" s="420">
        <f t="shared" si="84"/>
        <v>48.104493157321059</v>
      </c>
    </row>
    <row r="497" spans="1:10" ht="18.75" customHeight="1" x14ac:dyDescent="0.2">
      <c r="A497" s="399"/>
      <c r="B497" s="406" t="s">
        <v>1550</v>
      </c>
      <c r="C497" s="859"/>
      <c r="D497" s="412" t="s">
        <v>1369</v>
      </c>
      <c r="E497" s="418">
        <v>12</v>
      </c>
      <c r="F497" s="418">
        <v>6</v>
      </c>
      <c r="G497" s="419">
        <f>+F497/E497*100</f>
        <v>50</v>
      </c>
      <c r="H497" s="423">
        <v>144000</v>
      </c>
      <c r="I497" s="475">
        <f>36000+(1500*4)+(1175*3)</f>
        <v>45525</v>
      </c>
      <c r="J497" s="420">
        <f t="shared" si="84"/>
        <v>31.614583333333336</v>
      </c>
    </row>
    <row r="498" spans="1:10" ht="18.75" customHeight="1" x14ac:dyDescent="0.2">
      <c r="A498" s="409">
        <v>8</v>
      </c>
      <c r="B498" s="410" t="s">
        <v>1551</v>
      </c>
      <c r="C498" s="385"/>
      <c r="D498" s="294"/>
      <c r="E498" s="427"/>
      <c r="F498" s="427"/>
      <c r="G498" s="427"/>
      <c r="H498" s="359"/>
      <c r="I498" s="451">
        <f>+I499</f>
        <v>180700</v>
      </c>
      <c r="J498" s="417">
        <f>+I498/H499*100</f>
        <v>180.7</v>
      </c>
    </row>
    <row r="499" spans="1:10" ht="18.75" customHeight="1" x14ac:dyDescent="0.2">
      <c r="A499" s="297"/>
      <c r="B499" s="352" t="s">
        <v>1554</v>
      </c>
      <c r="C499" s="859" t="s">
        <v>32</v>
      </c>
      <c r="D499" s="414" t="s">
        <v>1552</v>
      </c>
      <c r="E499" s="423">
        <v>1</v>
      </c>
      <c r="F499" s="423">
        <v>0.5</v>
      </c>
      <c r="G499" s="420">
        <f>+F499/E499*100</f>
        <v>50</v>
      </c>
      <c r="H499" s="423">
        <v>100000</v>
      </c>
      <c r="I499" s="510">
        <v>180700</v>
      </c>
      <c r="J499" s="420">
        <f t="shared" si="84"/>
        <v>180.7</v>
      </c>
    </row>
    <row r="500" spans="1:10" x14ac:dyDescent="0.2">
      <c r="G500" s="93"/>
      <c r="H500" s="426"/>
      <c r="I500" s="426"/>
      <c r="J500" s="426"/>
    </row>
    <row r="501" spans="1:10" x14ac:dyDescent="0.2">
      <c r="G501" s="93"/>
      <c r="H501" s="426"/>
      <c r="I501" s="426"/>
      <c r="J501" s="426"/>
    </row>
    <row r="502" spans="1:10" x14ac:dyDescent="0.2">
      <c r="G502" s="93"/>
      <c r="H502" s="426"/>
      <c r="I502" s="426"/>
      <c r="J502" s="426"/>
    </row>
    <row r="503" spans="1:10" x14ac:dyDescent="0.2">
      <c r="G503" s="93"/>
      <c r="H503" s="426"/>
      <c r="I503" s="426"/>
      <c r="J503" s="426"/>
    </row>
    <row r="504" spans="1:10" x14ac:dyDescent="0.2">
      <c r="G504" s="93"/>
      <c r="H504" s="426"/>
      <c r="I504" s="426"/>
      <c r="J504" s="426"/>
    </row>
    <row r="505" spans="1:10" x14ac:dyDescent="0.2">
      <c r="G505" s="93"/>
      <c r="H505" s="426"/>
      <c r="I505" s="426"/>
      <c r="J505" s="426"/>
    </row>
    <row r="506" spans="1:10" x14ac:dyDescent="0.2">
      <c r="H506" s="426"/>
      <c r="I506" s="426"/>
      <c r="J506" s="426"/>
    </row>
    <row r="507" spans="1:10" x14ac:dyDescent="0.2">
      <c r="H507" s="426"/>
      <c r="I507" s="426"/>
      <c r="J507" s="426"/>
    </row>
    <row r="508" spans="1:10" x14ac:dyDescent="0.2">
      <c r="H508" s="426"/>
      <c r="I508" s="426"/>
      <c r="J508" s="426"/>
    </row>
    <row r="509" spans="1:10" x14ac:dyDescent="0.2">
      <c r="H509" s="426"/>
      <c r="I509" s="426"/>
      <c r="J509" s="426"/>
    </row>
    <row r="510" spans="1:10" x14ac:dyDescent="0.2">
      <c r="H510" s="426"/>
      <c r="I510" s="426"/>
      <c r="J510" s="426"/>
    </row>
    <row r="511" spans="1:10" x14ac:dyDescent="0.2">
      <c r="H511" s="426"/>
      <c r="I511" s="426"/>
      <c r="J511" s="426"/>
    </row>
    <row r="512" spans="1:10" x14ac:dyDescent="0.2">
      <c r="H512" s="426"/>
      <c r="I512" s="426"/>
      <c r="J512" s="426"/>
    </row>
    <row r="513" spans="8:10" x14ac:dyDescent="0.2">
      <c r="H513" s="426"/>
      <c r="I513" s="426"/>
      <c r="J513" s="426"/>
    </row>
    <row r="514" spans="8:10" x14ac:dyDescent="0.2">
      <c r="H514" s="426"/>
      <c r="I514" s="426"/>
      <c r="J514" s="426"/>
    </row>
    <row r="515" spans="8:10" x14ac:dyDescent="0.2">
      <c r="J515" s="93"/>
    </row>
    <row r="516" spans="8:10" x14ac:dyDescent="0.2">
      <c r="J516" s="93"/>
    </row>
    <row r="517" spans="8:10" x14ac:dyDescent="0.2">
      <c r="J517" s="93"/>
    </row>
    <row r="518" spans="8:10" x14ac:dyDescent="0.2">
      <c r="J518" s="93"/>
    </row>
    <row r="519" spans="8:10" x14ac:dyDescent="0.2">
      <c r="J519" s="93"/>
    </row>
    <row r="520" spans="8:10" x14ac:dyDescent="0.2">
      <c r="J520" s="93"/>
    </row>
    <row r="521" spans="8:10" x14ac:dyDescent="0.2">
      <c r="J521" s="93"/>
    </row>
    <row r="522" spans="8:10" x14ac:dyDescent="0.2">
      <c r="J522" s="93"/>
    </row>
    <row r="523" spans="8:10" x14ac:dyDescent="0.2">
      <c r="J523" s="93"/>
    </row>
    <row r="524" spans="8:10" x14ac:dyDescent="0.2">
      <c r="J524" s="93"/>
    </row>
    <row r="525" spans="8:10" x14ac:dyDescent="0.2">
      <c r="J525" s="93"/>
    </row>
    <row r="526" spans="8:10" x14ac:dyDescent="0.2">
      <c r="J526" s="93"/>
    </row>
    <row r="527" spans="8:10" x14ac:dyDescent="0.2">
      <c r="J527" s="93"/>
    </row>
    <row r="528" spans="8:10" x14ac:dyDescent="0.2">
      <c r="J528" s="93"/>
    </row>
    <row r="529" spans="10:10" x14ac:dyDescent="0.2">
      <c r="J529" s="93"/>
    </row>
    <row r="530" spans="10:10" x14ac:dyDescent="0.2">
      <c r="J530" s="93"/>
    </row>
    <row r="531" spans="10:10" x14ac:dyDescent="0.2">
      <c r="J531" s="93"/>
    </row>
    <row r="532" spans="10:10" x14ac:dyDescent="0.2">
      <c r="J532" s="93"/>
    </row>
    <row r="533" spans="10:10" x14ac:dyDescent="0.2">
      <c r="J533" s="93"/>
    </row>
    <row r="534" spans="10:10" x14ac:dyDescent="0.2">
      <c r="J534" s="93"/>
    </row>
    <row r="535" spans="10:10" x14ac:dyDescent="0.2">
      <c r="J535" s="93"/>
    </row>
    <row r="536" spans="10:10" x14ac:dyDescent="0.2">
      <c r="J536" s="93"/>
    </row>
    <row r="537" spans="10:10" x14ac:dyDescent="0.2">
      <c r="J537" s="93"/>
    </row>
    <row r="538" spans="10:10" x14ac:dyDescent="0.2">
      <c r="J538" s="93"/>
    </row>
    <row r="539" spans="10:10" x14ac:dyDescent="0.2">
      <c r="J539" s="93"/>
    </row>
    <row r="540" spans="10:10" x14ac:dyDescent="0.2">
      <c r="J540" s="93"/>
    </row>
    <row r="541" spans="10:10" x14ac:dyDescent="0.2">
      <c r="J541" s="93"/>
    </row>
    <row r="542" spans="10:10" x14ac:dyDescent="0.2">
      <c r="J542" s="93"/>
    </row>
    <row r="543" spans="10:10" x14ac:dyDescent="0.2">
      <c r="J543" s="93"/>
    </row>
    <row r="544" spans="10:10" x14ac:dyDescent="0.2">
      <c r="J544" s="93"/>
    </row>
    <row r="545" spans="10:10" x14ac:dyDescent="0.2">
      <c r="J545" s="93"/>
    </row>
  </sheetData>
  <mergeCells count="42">
    <mergeCell ref="A307:B307"/>
    <mergeCell ref="A331:B331"/>
    <mergeCell ref="A335:B335"/>
    <mergeCell ref="A337:B337"/>
    <mergeCell ref="C156:C160"/>
    <mergeCell ref="H156:H160"/>
    <mergeCell ref="I156:I160"/>
    <mergeCell ref="A301:B301"/>
    <mergeCell ref="A306:B306"/>
    <mergeCell ref="A163:B163"/>
    <mergeCell ref="A298:B298"/>
    <mergeCell ref="A299:B299"/>
    <mergeCell ref="A156:A160"/>
    <mergeCell ref="B156:B160"/>
    <mergeCell ref="C342:C343"/>
    <mergeCell ref="C345:C349"/>
    <mergeCell ref="C357:C360"/>
    <mergeCell ref="A2:B2"/>
    <mergeCell ref="A6:A7"/>
    <mergeCell ref="B6:B7"/>
    <mergeCell ref="C6:C7"/>
    <mergeCell ref="A3:J3"/>
    <mergeCell ref="D6:G6"/>
    <mergeCell ref="H6:J6"/>
    <mergeCell ref="C8:G8"/>
    <mergeCell ref="A4:J4"/>
    <mergeCell ref="A5:J5"/>
    <mergeCell ref="A61:B61"/>
    <mergeCell ref="J156:J160"/>
    <mergeCell ref="A161:B161"/>
    <mergeCell ref="C362:C368"/>
    <mergeCell ref="C371:C373"/>
    <mergeCell ref="C376:C377"/>
    <mergeCell ref="C379:C381"/>
    <mergeCell ref="C384:C387"/>
    <mergeCell ref="A144:B144"/>
    <mergeCell ref="J145:J155"/>
    <mergeCell ref="I145:I155"/>
    <mergeCell ref="H145:H155"/>
    <mergeCell ref="C145:C155"/>
    <mergeCell ref="B145:B155"/>
    <mergeCell ref="A145:A155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drawing r:id="rId2"/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61"/>
  <sheetViews>
    <sheetView view="pageBreakPreview" topLeftCell="A46" zoomScaleNormal="100" zoomScaleSheetLayoutView="100" workbookViewId="0">
      <selection activeCell="H58" sqref="H58:H61"/>
    </sheetView>
  </sheetViews>
  <sheetFormatPr baseColWidth="10" defaultRowHeight="12.75" x14ac:dyDescent="0.2"/>
  <cols>
    <col min="1" max="1" width="4.140625" style="4" customWidth="1"/>
    <col min="2" max="2" width="61.42578125" style="2" customWidth="1"/>
    <col min="3" max="3" width="16.28515625" style="5" customWidth="1"/>
    <col min="4" max="4" width="15.85546875" style="6" customWidth="1"/>
    <col min="5" max="5" width="12.42578125" style="40" customWidth="1"/>
    <col min="6" max="6" width="12.5703125" style="2" customWidth="1"/>
    <col min="7" max="7" width="11.5703125" style="2" customWidth="1"/>
    <col min="8" max="8" width="13.85546875" style="2" customWidth="1"/>
    <col min="9" max="9" width="13.5703125" style="2" customWidth="1"/>
    <col min="10" max="10" width="9.28515625" style="2" customWidth="1"/>
    <col min="11" max="16384" width="11.42578125" style="2"/>
  </cols>
  <sheetData>
    <row r="2" spans="1:10" ht="18" customHeight="1" x14ac:dyDescent="0.2">
      <c r="A2" s="2410" t="s">
        <v>21</v>
      </c>
      <c r="B2" s="2411"/>
      <c r="C2" s="558"/>
      <c r="D2" s="1622"/>
      <c r="E2" s="559"/>
      <c r="F2" s="560"/>
      <c r="G2" s="561"/>
      <c r="H2" s="561"/>
      <c r="I2" s="561"/>
      <c r="J2" s="562"/>
    </row>
    <row r="3" spans="1:10" ht="27" customHeight="1" x14ac:dyDescent="0.2">
      <c r="A3" s="2325" t="s">
        <v>2783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ht="25.5" customHeight="1" x14ac:dyDescent="0.2">
      <c r="A4" s="2366" t="s">
        <v>6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0" ht="22.5" customHeight="1" x14ac:dyDescent="0.2">
      <c r="A5" s="2339" t="s">
        <v>5</v>
      </c>
      <c r="B5" s="2340"/>
      <c r="C5" s="2340"/>
      <c r="D5" s="2340"/>
      <c r="E5" s="2340"/>
      <c r="F5" s="2340"/>
      <c r="G5" s="75"/>
      <c r="H5" s="75"/>
      <c r="I5" s="31"/>
      <c r="J5" s="563"/>
    </row>
    <row r="6" spans="1:10" ht="18" customHeight="1" x14ac:dyDescent="0.2">
      <c r="A6" s="2412" t="s">
        <v>0</v>
      </c>
      <c r="B6" s="2412" t="s">
        <v>1</v>
      </c>
      <c r="C6" s="2412" t="s">
        <v>2</v>
      </c>
      <c r="D6" s="2406" t="s">
        <v>1781</v>
      </c>
      <c r="E6" s="2406"/>
      <c r="F6" s="2406"/>
      <c r="G6" s="2406"/>
      <c r="H6" s="2406" t="s">
        <v>774</v>
      </c>
      <c r="I6" s="2406"/>
      <c r="J6" s="2406"/>
    </row>
    <row r="7" spans="1:10" ht="26.25" customHeight="1" x14ac:dyDescent="0.2">
      <c r="A7" s="2412"/>
      <c r="B7" s="2412"/>
      <c r="C7" s="2412"/>
      <c r="D7" s="1623" t="s">
        <v>3</v>
      </c>
      <c r="E7" s="1623" t="s">
        <v>4</v>
      </c>
      <c r="F7" s="1623" t="s">
        <v>747</v>
      </c>
      <c r="G7" s="1623" t="s">
        <v>746</v>
      </c>
      <c r="H7" s="565" t="s">
        <v>748</v>
      </c>
      <c r="I7" s="1623" t="s">
        <v>747</v>
      </c>
      <c r="J7" s="1623" t="s">
        <v>746</v>
      </c>
    </row>
    <row r="8" spans="1:10" ht="18" customHeight="1" x14ac:dyDescent="0.2">
      <c r="A8" s="90"/>
      <c r="B8" s="1994"/>
      <c r="C8" s="2407" t="s">
        <v>1690</v>
      </c>
      <c r="D8" s="2408"/>
      <c r="E8" s="2408"/>
      <c r="F8" s="2408"/>
      <c r="G8" s="2409"/>
      <c r="H8" s="99">
        <f>+H9+H11+H57</f>
        <v>1556883</v>
      </c>
      <c r="I8" s="111">
        <f>+I9+I11+I57</f>
        <v>710457.56</v>
      </c>
      <c r="J8" s="251">
        <f t="shared" ref="J8" si="0">+I8/H8*100</f>
        <v>45.633330186019123</v>
      </c>
    </row>
    <row r="9" spans="1:10" ht="18.75" customHeight="1" x14ac:dyDescent="0.2">
      <c r="A9" s="521" t="s">
        <v>374</v>
      </c>
      <c r="B9" s="522"/>
      <c r="C9" s="523"/>
      <c r="D9" s="524"/>
      <c r="E9" s="525"/>
      <c r="F9" s="526"/>
      <c r="G9" s="526"/>
      <c r="H9" s="527">
        <f>+H10</f>
        <v>212870</v>
      </c>
      <c r="I9" s="566">
        <f>+I10</f>
        <v>0</v>
      </c>
      <c r="J9" s="913">
        <v>0</v>
      </c>
    </row>
    <row r="10" spans="1:10" ht="38.25" x14ac:dyDescent="0.2">
      <c r="A10" s="517">
        <v>1</v>
      </c>
      <c r="B10" s="518" t="s">
        <v>1679</v>
      </c>
      <c r="C10" s="536" t="s">
        <v>37</v>
      </c>
      <c r="D10" s="914" t="s">
        <v>1681</v>
      </c>
      <c r="E10" s="912">
        <v>1</v>
      </c>
      <c r="F10" s="912">
        <v>0</v>
      </c>
      <c r="G10" s="538">
        <f t="shared" ref="G10" si="1">+F10/E10*100</f>
        <v>0</v>
      </c>
      <c r="H10" s="397">
        <v>212870</v>
      </c>
      <c r="I10" s="519">
        <v>0</v>
      </c>
      <c r="J10" s="520">
        <f t="shared" ref="J10" si="2">(I10/H10)*100</f>
        <v>0</v>
      </c>
    </row>
    <row r="11" spans="1:10" ht="20.25" customHeight="1" x14ac:dyDescent="0.2">
      <c r="A11" s="2389" t="s">
        <v>182</v>
      </c>
      <c r="B11" s="2389"/>
      <c r="C11" s="480"/>
      <c r="D11" s="480"/>
      <c r="E11" s="482"/>
      <c r="F11" s="482"/>
      <c r="G11" s="482"/>
      <c r="H11" s="168">
        <f>+H12+H19+H35+H47+H52+H53</f>
        <v>829034</v>
      </c>
      <c r="I11" s="528">
        <f>+I12+I19+I35+I47+I52+I53</f>
        <v>409238.63</v>
      </c>
      <c r="J11" s="482">
        <f>(I11*100)/H11</f>
        <v>49.363310793043468</v>
      </c>
    </row>
    <row r="12" spans="1:10" ht="15.75" customHeight="1" x14ac:dyDescent="0.2">
      <c r="A12" s="371">
        <v>1</v>
      </c>
      <c r="B12" s="529" t="s">
        <v>524</v>
      </c>
      <c r="C12" s="530"/>
      <c r="D12" s="530"/>
      <c r="E12" s="531"/>
      <c r="F12" s="531"/>
      <c r="G12" s="531"/>
      <c r="H12" s="532">
        <f>SUM(H13:H18)</f>
        <v>72726</v>
      </c>
      <c r="I12" s="533">
        <f>SUM(I13:I18)</f>
        <v>19400</v>
      </c>
      <c r="J12" s="533">
        <f>+I12/H12*100</f>
        <v>26.675466820669364</v>
      </c>
    </row>
    <row r="13" spans="1:10" ht="19.5" customHeight="1" x14ac:dyDescent="0.2">
      <c r="A13" s="534" t="s">
        <v>491</v>
      </c>
      <c r="B13" s="535" t="s">
        <v>486</v>
      </c>
      <c r="C13" s="536" t="s">
        <v>37</v>
      </c>
      <c r="D13" s="536" t="s">
        <v>111</v>
      </c>
      <c r="E13" s="537">
        <v>12</v>
      </c>
      <c r="F13" s="537">
        <v>6</v>
      </c>
      <c r="G13" s="538">
        <f t="shared" ref="G13:G56" si="3">+F13/E13*100</f>
        <v>50</v>
      </c>
      <c r="H13" s="539">
        <v>1500</v>
      </c>
      <c r="I13" s="538">
        <v>750</v>
      </c>
      <c r="J13" s="538">
        <f>+I13/H13*100</f>
        <v>50</v>
      </c>
    </row>
    <row r="14" spans="1:10" ht="25.5" x14ac:dyDescent="0.2">
      <c r="A14" s="534" t="s">
        <v>492</v>
      </c>
      <c r="B14" s="540" t="s">
        <v>487</v>
      </c>
      <c r="C14" s="541" t="s">
        <v>32</v>
      </c>
      <c r="D14" s="536" t="s">
        <v>111</v>
      </c>
      <c r="E14" s="537">
        <v>12</v>
      </c>
      <c r="F14" s="537">
        <v>6</v>
      </c>
      <c r="G14" s="538">
        <f t="shared" si="3"/>
        <v>50</v>
      </c>
      <c r="H14" s="539">
        <v>1500</v>
      </c>
      <c r="I14" s="538">
        <v>750</v>
      </c>
      <c r="J14" s="538">
        <f t="shared" ref="J14:J57" si="4">+I14/H14*100</f>
        <v>50</v>
      </c>
    </row>
    <row r="15" spans="1:10" ht="25.5" x14ac:dyDescent="0.2">
      <c r="A15" s="534" t="s">
        <v>493</v>
      </c>
      <c r="B15" s="535" t="s">
        <v>2500</v>
      </c>
      <c r="C15" s="541" t="s">
        <v>32</v>
      </c>
      <c r="D15" s="536" t="s">
        <v>184</v>
      </c>
      <c r="E15" s="537">
        <v>5</v>
      </c>
      <c r="F15" s="537">
        <v>1</v>
      </c>
      <c r="G15" s="538">
        <f t="shared" si="3"/>
        <v>20</v>
      </c>
      <c r="H15" s="539">
        <v>1838</v>
      </c>
      <c r="I15" s="538">
        <v>900</v>
      </c>
      <c r="J15" s="538">
        <f t="shared" si="4"/>
        <v>48.966267682263329</v>
      </c>
    </row>
    <row r="16" spans="1:10" ht="38.25" x14ac:dyDescent="0.2">
      <c r="A16" s="534" t="s">
        <v>494</v>
      </c>
      <c r="B16" s="540" t="s">
        <v>488</v>
      </c>
      <c r="C16" s="541" t="s">
        <v>32</v>
      </c>
      <c r="D16" s="536" t="s">
        <v>111</v>
      </c>
      <c r="E16" s="537">
        <v>120</v>
      </c>
      <c r="F16" s="537">
        <v>60</v>
      </c>
      <c r="G16" s="538">
        <f t="shared" si="3"/>
        <v>50</v>
      </c>
      <c r="H16" s="539">
        <f>45000+17688</f>
        <v>62688</v>
      </c>
      <c r="I16" s="538">
        <v>17000</v>
      </c>
      <c r="J16" s="538">
        <f t="shared" si="4"/>
        <v>27.118427769270038</v>
      </c>
    </row>
    <row r="17" spans="1:10" ht="21" customHeight="1" x14ac:dyDescent="0.2">
      <c r="A17" s="534" t="s">
        <v>495</v>
      </c>
      <c r="B17" s="535" t="s">
        <v>489</v>
      </c>
      <c r="C17" s="536" t="s">
        <v>37</v>
      </c>
      <c r="D17" s="536" t="s">
        <v>112</v>
      </c>
      <c r="E17" s="537">
        <v>1</v>
      </c>
      <c r="F17" s="537">
        <v>0</v>
      </c>
      <c r="G17" s="538">
        <f t="shared" si="3"/>
        <v>0</v>
      </c>
      <c r="H17" s="539">
        <v>200</v>
      </c>
      <c r="I17" s="538">
        <v>0</v>
      </c>
      <c r="J17" s="538">
        <f t="shared" si="4"/>
        <v>0</v>
      </c>
    </row>
    <row r="18" spans="1:10" ht="20.25" customHeight="1" x14ac:dyDescent="0.2">
      <c r="A18" s="534" t="s">
        <v>496</v>
      </c>
      <c r="B18" s="535" t="s">
        <v>1682</v>
      </c>
      <c r="C18" s="536" t="s">
        <v>37</v>
      </c>
      <c r="D18" s="536" t="s">
        <v>490</v>
      </c>
      <c r="E18" s="537">
        <v>1</v>
      </c>
      <c r="F18" s="537">
        <v>0</v>
      </c>
      <c r="G18" s="538">
        <f t="shared" si="3"/>
        <v>0</v>
      </c>
      <c r="H18" s="539">
        <v>5000</v>
      </c>
      <c r="I18" s="538">
        <v>0</v>
      </c>
      <c r="J18" s="538">
        <f t="shared" si="4"/>
        <v>0</v>
      </c>
    </row>
    <row r="19" spans="1:10" ht="21.75" customHeight="1" x14ac:dyDescent="0.2">
      <c r="A19" s="409">
        <v>2</v>
      </c>
      <c r="B19" s="410" t="s">
        <v>523</v>
      </c>
      <c r="C19" s="385"/>
      <c r="D19" s="385"/>
      <c r="E19" s="416"/>
      <c r="F19" s="416"/>
      <c r="G19" s="538"/>
      <c r="H19" s="424">
        <f>SUM(H20:H34)</f>
        <v>54826</v>
      </c>
      <c r="I19" s="451">
        <f>SUM(I20:I34)</f>
        <v>32579</v>
      </c>
      <c r="J19" s="533">
        <f t="shared" si="4"/>
        <v>59.422536752635615</v>
      </c>
    </row>
    <row r="20" spans="1:10" ht="25.5" x14ac:dyDescent="0.2">
      <c r="A20" s="534" t="s">
        <v>441</v>
      </c>
      <c r="B20" s="535" t="s">
        <v>453</v>
      </c>
      <c r="C20" s="541" t="s">
        <v>32</v>
      </c>
      <c r="D20" s="536" t="s">
        <v>184</v>
      </c>
      <c r="E20" s="537">
        <v>1</v>
      </c>
      <c r="F20" s="537">
        <v>0</v>
      </c>
      <c r="G20" s="538">
        <f t="shared" si="3"/>
        <v>0</v>
      </c>
      <c r="H20" s="539">
        <v>2000</v>
      </c>
      <c r="I20" s="538">
        <v>0</v>
      </c>
      <c r="J20" s="538">
        <f t="shared" si="4"/>
        <v>0</v>
      </c>
    </row>
    <row r="21" spans="1:10" ht="25.5" x14ac:dyDescent="0.2">
      <c r="A21" s="534" t="s">
        <v>442</v>
      </c>
      <c r="B21" s="535" t="s">
        <v>183</v>
      </c>
      <c r="C21" s="541" t="s">
        <v>32</v>
      </c>
      <c r="D21" s="536" t="s">
        <v>184</v>
      </c>
      <c r="E21" s="537">
        <v>16</v>
      </c>
      <c r="F21" s="537">
        <v>7</v>
      </c>
      <c r="G21" s="538">
        <f t="shared" si="3"/>
        <v>43.75</v>
      </c>
      <c r="H21" s="539">
        <v>3000</v>
      </c>
      <c r="I21" s="538">
        <v>1450</v>
      </c>
      <c r="J21" s="538">
        <f t="shared" si="4"/>
        <v>48.333333333333336</v>
      </c>
    </row>
    <row r="22" spans="1:10" ht="22.5" customHeight="1" x14ac:dyDescent="0.2">
      <c r="A22" s="534" t="s">
        <v>497</v>
      </c>
      <c r="B22" s="535" t="s">
        <v>454</v>
      </c>
      <c r="C22" s="541" t="s">
        <v>32</v>
      </c>
      <c r="D22" s="536" t="s">
        <v>111</v>
      </c>
      <c r="E22" s="537">
        <v>6</v>
      </c>
      <c r="F22" s="537">
        <v>3</v>
      </c>
      <c r="G22" s="538">
        <f t="shared" si="3"/>
        <v>50</v>
      </c>
      <c r="H22" s="539">
        <v>2500</v>
      </c>
      <c r="I22" s="538">
        <v>1300</v>
      </c>
      <c r="J22" s="538">
        <f t="shared" si="4"/>
        <v>52</v>
      </c>
    </row>
    <row r="23" spans="1:10" ht="25.5" x14ac:dyDescent="0.2">
      <c r="A23" s="534" t="s">
        <v>498</v>
      </c>
      <c r="B23" s="535" t="s">
        <v>455</v>
      </c>
      <c r="C23" s="541" t="s">
        <v>32</v>
      </c>
      <c r="D23" s="536" t="s">
        <v>463</v>
      </c>
      <c r="E23" s="537">
        <v>12</v>
      </c>
      <c r="F23" s="537">
        <v>6</v>
      </c>
      <c r="G23" s="538">
        <f t="shared" si="3"/>
        <v>50</v>
      </c>
      <c r="H23" s="539">
        <v>562</v>
      </c>
      <c r="I23" s="538">
        <v>362</v>
      </c>
      <c r="J23" s="538">
        <f t="shared" si="4"/>
        <v>64.412811387900362</v>
      </c>
    </row>
    <row r="24" spans="1:10" ht="19.5" customHeight="1" x14ac:dyDescent="0.2">
      <c r="A24" s="534" t="s">
        <v>499</v>
      </c>
      <c r="B24" s="535" t="s">
        <v>456</v>
      </c>
      <c r="C24" s="541" t="s">
        <v>32</v>
      </c>
      <c r="D24" s="536" t="s">
        <v>464</v>
      </c>
      <c r="E24" s="537">
        <v>60</v>
      </c>
      <c r="F24" s="537">
        <v>27</v>
      </c>
      <c r="G24" s="538">
        <f t="shared" si="3"/>
        <v>45</v>
      </c>
      <c r="H24" s="539">
        <v>2500</v>
      </c>
      <c r="I24" s="538">
        <v>1200</v>
      </c>
      <c r="J24" s="538">
        <f t="shared" si="4"/>
        <v>48</v>
      </c>
    </row>
    <row r="25" spans="1:10" ht="25.5" x14ac:dyDescent="0.2">
      <c r="A25" s="534" t="s">
        <v>500</v>
      </c>
      <c r="B25" s="535" t="s">
        <v>565</v>
      </c>
      <c r="C25" s="541" t="s">
        <v>32</v>
      </c>
      <c r="D25" s="536" t="s">
        <v>111</v>
      </c>
      <c r="E25" s="537">
        <v>8</v>
      </c>
      <c r="F25" s="537">
        <v>4</v>
      </c>
      <c r="G25" s="538">
        <f t="shared" si="3"/>
        <v>50</v>
      </c>
      <c r="H25" s="539">
        <v>2664</v>
      </c>
      <c r="I25" s="538">
        <v>1320</v>
      </c>
      <c r="J25" s="538">
        <f t="shared" si="4"/>
        <v>49.549549549549546</v>
      </c>
    </row>
    <row r="26" spans="1:10" ht="38.25" x14ac:dyDescent="0.2">
      <c r="A26" s="534" t="s">
        <v>501</v>
      </c>
      <c r="B26" s="535" t="s">
        <v>457</v>
      </c>
      <c r="C26" s="541" t="s">
        <v>32</v>
      </c>
      <c r="D26" s="536" t="s">
        <v>111</v>
      </c>
      <c r="E26" s="537">
        <v>8</v>
      </c>
      <c r="F26" s="537">
        <v>4</v>
      </c>
      <c r="G26" s="538">
        <f t="shared" si="3"/>
        <v>50</v>
      </c>
      <c r="H26" s="539">
        <v>3500</v>
      </c>
      <c r="I26" s="538">
        <v>1500</v>
      </c>
      <c r="J26" s="538">
        <f t="shared" si="4"/>
        <v>42.857142857142854</v>
      </c>
    </row>
    <row r="27" spans="1:10" ht="38.25" x14ac:dyDescent="0.2">
      <c r="A27" s="534" t="s">
        <v>502</v>
      </c>
      <c r="B27" s="535" t="s">
        <v>1683</v>
      </c>
      <c r="C27" s="541" t="s">
        <v>32</v>
      </c>
      <c r="D27" s="536" t="s">
        <v>62</v>
      </c>
      <c r="E27" s="537">
        <v>4</v>
      </c>
      <c r="F27" s="537">
        <v>1</v>
      </c>
      <c r="G27" s="538">
        <f t="shared" si="3"/>
        <v>25</v>
      </c>
      <c r="H27" s="539">
        <v>4000</v>
      </c>
      <c r="I27" s="538">
        <v>2500</v>
      </c>
      <c r="J27" s="538">
        <f t="shared" si="4"/>
        <v>62.5</v>
      </c>
    </row>
    <row r="28" spans="1:10" ht="18.75" customHeight="1" x14ac:dyDescent="0.2">
      <c r="A28" s="534" t="s">
        <v>503</v>
      </c>
      <c r="B28" s="535" t="s">
        <v>458</v>
      </c>
      <c r="C28" s="541" t="s">
        <v>32</v>
      </c>
      <c r="D28" s="536" t="s">
        <v>106</v>
      </c>
      <c r="E28" s="537">
        <v>1</v>
      </c>
      <c r="F28" s="537">
        <v>0</v>
      </c>
      <c r="G28" s="538">
        <f t="shared" si="3"/>
        <v>0</v>
      </c>
      <c r="H28" s="539">
        <v>100</v>
      </c>
      <c r="I28" s="538">
        <v>0</v>
      </c>
      <c r="J28" s="538">
        <f t="shared" si="4"/>
        <v>0</v>
      </c>
    </row>
    <row r="29" spans="1:10" ht="19.5" customHeight="1" x14ac:dyDescent="0.2">
      <c r="A29" s="534" t="s">
        <v>504</v>
      </c>
      <c r="B29" s="535" t="s">
        <v>185</v>
      </c>
      <c r="C29" s="541" t="s">
        <v>32</v>
      </c>
      <c r="D29" s="536" t="s">
        <v>465</v>
      </c>
      <c r="E29" s="537">
        <v>520</v>
      </c>
      <c r="F29" s="537">
        <v>249</v>
      </c>
      <c r="G29" s="538">
        <f t="shared" si="3"/>
        <v>47.884615384615387</v>
      </c>
      <c r="H29" s="539">
        <v>4000</v>
      </c>
      <c r="I29" s="538">
        <v>2500</v>
      </c>
      <c r="J29" s="538">
        <f t="shared" si="4"/>
        <v>62.5</v>
      </c>
    </row>
    <row r="30" spans="1:10" ht="18" customHeight="1" x14ac:dyDescent="0.2">
      <c r="A30" s="534" t="s">
        <v>505</v>
      </c>
      <c r="B30" s="535" t="s">
        <v>459</v>
      </c>
      <c r="C30" s="541" t="s">
        <v>32</v>
      </c>
      <c r="D30" s="536" t="s">
        <v>135</v>
      </c>
      <c r="E30" s="537">
        <v>2</v>
      </c>
      <c r="F30" s="537">
        <v>8</v>
      </c>
      <c r="G30" s="538">
        <f t="shared" si="3"/>
        <v>400</v>
      </c>
      <c r="H30" s="539">
        <v>2500</v>
      </c>
      <c r="I30" s="538">
        <v>2000</v>
      </c>
      <c r="J30" s="538">
        <f t="shared" si="4"/>
        <v>80</v>
      </c>
    </row>
    <row r="31" spans="1:10" ht="19.5" customHeight="1" x14ac:dyDescent="0.2">
      <c r="A31" s="534" t="s">
        <v>506</v>
      </c>
      <c r="B31" s="535" t="s">
        <v>460</v>
      </c>
      <c r="C31" s="541" t="s">
        <v>32</v>
      </c>
      <c r="D31" s="536" t="s">
        <v>111</v>
      </c>
      <c r="E31" s="537">
        <v>4</v>
      </c>
      <c r="F31" s="537">
        <v>2</v>
      </c>
      <c r="G31" s="538">
        <f t="shared" si="3"/>
        <v>50</v>
      </c>
      <c r="H31" s="539">
        <v>1500</v>
      </c>
      <c r="I31" s="538">
        <v>750</v>
      </c>
      <c r="J31" s="538">
        <f t="shared" si="4"/>
        <v>50</v>
      </c>
    </row>
    <row r="32" spans="1:10" ht="38.25" x14ac:dyDescent="0.2">
      <c r="A32" s="534" t="s">
        <v>507</v>
      </c>
      <c r="B32" s="535" t="s">
        <v>461</v>
      </c>
      <c r="C32" s="541" t="s">
        <v>32</v>
      </c>
      <c r="D32" s="536" t="s">
        <v>106</v>
      </c>
      <c r="E32" s="537">
        <v>6</v>
      </c>
      <c r="F32" s="537">
        <v>4</v>
      </c>
      <c r="G32" s="538">
        <f t="shared" si="3"/>
        <v>66.666666666666657</v>
      </c>
      <c r="H32" s="539">
        <v>20000</v>
      </c>
      <c r="I32" s="538">
        <f>14701-4</f>
        <v>14697</v>
      </c>
      <c r="J32" s="538">
        <f t="shared" si="4"/>
        <v>73.484999999999999</v>
      </c>
    </row>
    <row r="33" spans="1:10" ht="25.5" x14ac:dyDescent="0.2">
      <c r="A33" s="534" t="s">
        <v>508</v>
      </c>
      <c r="B33" s="535" t="s">
        <v>462</v>
      </c>
      <c r="C33" s="541" t="s">
        <v>32</v>
      </c>
      <c r="D33" s="536" t="s">
        <v>466</v>
      </c>
      <c r="E33" s="537">
        <v>280</v>
      </c>
      <c r="F33" s="537">
        <v>21</v>
      </c>
      <c r="G33" s="538">
        <f t="shared" si="3"/>
        <v>7.5</v>
      </c>
      <c r="H33" s="539">
        <v>3000</v>
      </c>
      <c r="I33" s="538">
        <v>1500</v>
      </c>
      <c r="J33" s="538">
        <f t="shared" si="4"/>
        <v>50</v>
      </c>
    </row>
    <row r="34" spans="1:10" ht="38.25" x14ac:dyDescent="0.2">
      <c r="A34" s="534" t="s">
        <v>509</v>
      </c>
      <c r="B34" s="535" t="s">
        <v>1684</v>
      </c>
      <c r="C34" s="541" t="s">
        <v>32</v>
      </c>
      <c r="D34" s="536" t="s">
        <v>111</v>
      </c>
      <c r="E34" s="537">
        <v>4</v>
      </c>
      <c r="F34" s="537">
        <v>2</v>
      </c>
      <c r="G34" s="538">
        <f t="shared" si="3"/>
        <v>50</v>
      </c>
      <c r="H34" s="539">
        <v>3000</v>
      </c>
      <c r="I34" s="538">
        <v>1500</v>
      </c>
      <c r="J34" s="538">
        <f t="shared" si="4"/>
        <v>50</v>
      </c>
    </row>
    <row r="35" spans="1:10" ht="15.75" customHeight="1" x14ac:dyDescent="0.2">
      <c r="A35" s="371">
        <v>3</v>
      </c>
      <c r="B35" s="529" t="s">
        <v>520</v>
      </c>
      <c r="C35" s="542"/>
      <c r="D35" s="543"/>
      <c r="E35" s="544"/>
      <c r="F35" s="544"/>
      <c r="G35" s="538"/>
      <c r="H35" s="545">
        <f>SUM(H36:H46)</f>
        <v>19066</v>
      </c>
      <c r="I35" s="546">
        <f>SUM(I36:I46)</f>
        <v>7850</v>
      </c>
      <c r="J35" s="533">
        <f t="shared" si="4"/>
        <v>41.172768278611137</v>
      </c>
    </row>
    <row r="36" spans="1:10" ht="25.5" x14ac:dyDescent="0.2">
      <c r="A36" s="534" t="s">
        <v>511</v>
      </c>
      <c r="B36" s="540" t="s">
        <v>467</v>
      </c>
      <c r="C36" s="541" t="s">
        <v>32</v>
      </c>
      <c r="D36" s="541" t="s">
        <v>1685</v>
      </c>
      <c r="E36" s="537">
        <v>1</v>
      </c>
      <c r="F36" s="537">
        <v>0</v>
      </c>
      <c r="G36" s="538">
        <f t="shared" si="3"/>
        <v>0</v>
      </c>
      <c r="H36" s="539">
        <v>1200</v>
      </c>
      <c r="I36" s="538">
        <v>0</v>
      </c>
      <c r="J36" s="538">
        <f t="shared" si="4"/>
        <v>0</v>
      </c>
    </row>
    <row r="37" spans="1:10" ht="18" customHeight="1" x14ac:dyDescent="0.2">
      <c r="A37" s="534" t="s">
        <v>443</v>
      </c>
      <c r="B37" s="535" t="s">
        <v>468</v>
      </c>
      <c r="C37" s="541" t="s">
        <v>32</v>
      </c>
      <c r="D37" s="536" t="s">
        <v>476</v>
      </c>
      <c r="E37" s="537">
        <v>6</v>
      </c>
      <c r="F37" s="537">
        <v>8</v>
      </c>
      <c r="G37" s="538">
        <f t="shared" si="3"/>
        <v>133.33333333333331</v>
      </c>
      <c r="H37" s="539">
        <v>1200</v>
      </c>
      <c r="I37" s="538">
        <v>600</v>
      </c>
      <c r="J37" s="538">
        <f t="shared" si="4"/>
        <v>50</v>
      </c>
    </row>
    <row r="38" spans="1:10" ht="15" customHeight="1" x14ac:dyDescent="0.2">
      <c r="A38" s="534" t="s">
        <v>444</v>
      </c>
      <c r="B38" s="535" t="s">
        <v>469</v>
      </c>
      <c r="C38" s="541" t="s">
        <v>32</v>
      </c>
      <c r="D38" s="536" t="s">
        <v>169</v>
      </c>
      <c r="E38" s="537">
        <v>60</v>
      </c>
      <c r="F38" s="537">
        <v>109</v>
      </c>
      <c r="G38" s="538">
        <f t="shared" si="3"/>
        <v>181.66666666666666</v>
      </c>
      <c r="H38" s="539">
        <v>2000</v>
      </c>
      <c r="I38" s="538">
        <v>1000</v>
      </c>
      <c r="J38" s="538">
        <f t="shared" si="4"/>
        <v>50</v>
      </c>
    </row>
    <row r="39" spans="1:10" ht="25.5" x14ac:dyDescent="0.2">
      <c r="A39" s="534" t="s">
        <v>445</v>
      </c>
      <c r="B39" s="540" t="s">
        <v>470</v>
      </c>
      <c r="C39" s="541" t="s">
        <v>32</v>
      </c>
      <c r="D39" s="536" t="s">
        <v>35</v>
      </c>
      <c r="E39" s="537">
        <v>4</v>
      </c>
      <c r="F39" s="537">
        <v>5</v>
      </c>
      <c r="G39" s="538">
        <f t="shared" si="3"/>
        <v>125</v>
      </c>
      <c r="H39" s="539">
        <v>4000</v>
      </c>
      <c r="I39" s="538">
        <v>2000</v>
      </c>
      <c r="J39" s="538">
        <f t="shared" si="4"/>
        <v>50</v>
      </c>
    </row>
    <row r="40" spans="1:10" ht="25.5" x14ac:dyDescent="0.2">
      <c r="A40" s="534" t="s">
        <v>512</v>
      </c>
      <c r="B40" s="535" t="s">
        <v>1686</v>
      </c>
      <c r="C40" s="541" t="s">
        <v>32</v>
      </c>
      <c r="D40" s="541" t="s">
        <v>1687</v>
      </c>
      <c r="E40" s="537">
        <v>180</v>
      </c>
      <c r="F40" s="537">
        <v>144</v>
      </c>
      <c r="G40" s="538">
        <f t="shared" si="3"/>
        <v>80</v>
      </c>
      <c r="H40" s="539">
        <v>1500</v>
      </c>
      <c r="I40" s="538">
        <v>750</v>
      </c>
      <c r="J40" s="538">
        <f t="shared" si="4"/>
        <v>50</v>
      </c>
    </row>
    <row r="41" spans="1:10" ht="25.5" x14ac:dyDescent="0.2">
      <c r="A41" s="534" t="s">
        <v>513</v>
      </c>
      <c r="B41" s="540" t="s">
        <v>471</v>
      </c>
      <c r="C41" s="541" t="s">
        <v>32</v>
      </c>
      <c r="D41" s="536" t="s">
        <v>167</v>
      </c>
      <c r="E41" s="537">
        <v>1</v>
      </c>
      <c r="F41" s="537">
        <v>0.4</v>
      </c>
      <c r="G41" s="538">
        <f t="shared" si="3"/>
        <v>40</v>
      </c>
      <c r="H41" s="539">
        <v>1000</v>
      </c>
      <c r="I41" s="538">
        <v>500</v>
      </c>
      <c r="J41" s="538">
        <f t="shared" si="4"/>
        <v>50</v>
      </c>
    </row>
    <row r="42" spans="1:10" ht="25.5" x14ac:dyDescent="0.2">
      <c r="A42" s="534" t="s">
        <v>514</v>
      </c>
      <c r="B42" s="540" t="s">
        <v>472</v>
      </c>
      <c r="C42" s="541" t="s">
        <v>32</v>
      </c>
      <c r="D42" s="536" t="s">
        <v>111</v>
      </c>
      <c r="E42" s="537">
        <v>2</v>
      </c>
      <c r="F42" s="537">
        <v>1</v>
      </c>
      <c r="G42" s="538">
        <f t="shared" si="3"/>
        <v>50</v>
      </c>
      <c r="H42" s="539">
        <v>1166</v>
      </c>
      <c r="I42" s="538">
        <v>600</v>
      </c>
      <c r="J42" s="538">
        <f t="shared" si="4"/>
        <v>51.457975986277873</v>
      </c>
    </row>
    <row r="43" spans="1:10" ht="51" x14ac:dyDescent="0.2">
      <c r="A43" s="534" t="s">
        <v>515</v>
      </c>
      <c r="B43" s="535" t="s">
        <v>473</v>
      </c>
      <c r="C43" s="541" t="s">
        <v>32</v>
      </c>
      <c r="D43" s="541" t="s">
        <v>477</v>
      </c>
      <c r="E43" s="537">
        <v>2</v>
      </c>
      <c r="F43" s="537">
        <v>0</v>
      </c>
      <c r="G43" s="538">
        <f t="shared" si="3"/>
        <v>0</v>
      </c>
      <c r="H43" s="539">
        <v>2000</v>
      </c>
      <c r="I43" s="538">
        <v>0</v>
      </c>
      <c r="J43" s="538">
        <f t="shared" si="4"/>
        <v>0</v>
      </c>
    </row>
    <row r="44" spans="1:10" ht="25.5" x14ac:dyDescent="0.2">
      <c r="A44" s="534" t="s">
        <v>516</v>
      </c>
      <c r="B44" s="540" t="s">
        <v>474</v>
      </c>
      <c r="C44" s="541" t="s">
        <v>32</v>
      </c>
      <c r="D44" s="536" t="s">
        <v>478</v>
      </c>
      <c r="E44" s="537">
        <v>60</v>
      </c>
      <c r="F44" s="537">
        <v>23</v>
      </c>
      <c r="G44" s="538">
        <f t="shared" si="3"/>
        <v>38.333333333333336</v>
      </c>
      <c r="H44" s="539">
        <v>2500</v>
      </c>
      <c r="I44" s="538">
        <v>1000</v>
      </c>
      <c r="J44" s="538">
        <f t="shared" si="4"/>
        <v>40</v>
      </c>
    </row>
    <row r="45" spans="1:10" ht="25.5" x14ac:dyDescent="0.2">
      <c r="A45" s="534" t="s">
        <v>517</v>
      </c>
      <c r="B45" s="540" t="s">
        <v>510</v>
      </c>
      <c r="C45" s="541" t="s">
        <v>32</v>
      </c>
      <c r="D45" s="536" t="s">
        <v>111</v>
      </c>
      <c r="E45" s="537">
        <v>4</v>
      </c>
      <c r="F45" s="537">
        <v>2</v>
      </c>
      <c r="G45" s="538">
        <f t="shared" si="3"/>
        <v>50</v>
      </c>
      <c r="H45" s="539">
        <v>1500</v>
      </c>
      <c r="I45" s="538">
        <v>800</v>
      </c>
      <c r="J45" s="538">
        <f t="shared" si="4"/>
        <v>53.333333333333336</v>
      </c>
    </row>
    <row r="46" spans="1:10" ht="18" customHeight="1" x14ac:dyDescent="0.2">
      <c r="A46" s="534" t="s">
        <v>518</v>
      </c>
      <c r="B46" s="535" t="s">
        <v>475</v>
      </c>
      <c r="C46" s="541" t="s">
        <v>32</v>
      </c>
      <c r="D46" s="536" t="s">
        <v>479</v>
      </c>
      <c r="E46" s="537">
        <v>4</v>
      </c>
      <c r="F46" s="537">
        <v>3</v>
      </c>
      <c r="G46" s="538">
        <f t="shared" si="3"/>
        <v>75</v>
      </c>
      <c r="H46" s="539">
        <v>1000</v>
      </c>
      <c r="I46" s="538">
        <v>600</v>
      </c>
      <c r="J46" s="538">
        <f t="shared" si="4"/>
        <v>60</v>
      </c>
    </row>
    <row r="47" spans="1:10" ht="18.75" customHeight="1" x14ac:dyDescent="0.2">
      <c r="A47" s="371">
        <v>4</v>
      </c>
      <c r="B47" s="529" t="s">
        <v>521</v>
      </c>
      <c r="C47" s="547"/>
      <c r="D47" s="547"/>
      <c r="E47" s="548"/>
      <c r="F47" s="548"/>
      <c r="G47" s="538"/>
      <c r="H47" s="387">
        <f>SUM(H48:H51)</f>
        <v>14500</v>
      </c>
      <c r="I47" s="479">
        <f>SUM(I48:I51)</f>
        <v>6999.63</v>
      </c>
      <c r="J47" s="533">
        <f t="shared" si="4"/>
        <v>48.273310344827586</v>
      </c>
    </row>
    <row r="48" spans="1:10" ht="38.25" x14ac:dyDescent="0.2">
      <c r="A48" s="534" t="s">
        <v>307</v>
      </c>
      <c r="B48" s="540" t="s">
        <v>480</v>
      </c>
      <c r="C48" s="541" t="s">
        <v>32</v>
      </c>
      <c r="D48" s="536" t="s">
        <v>62</v>
      </c>
      <c r="E48" s="537">
        <v>6</v>
      </c>
      <c r="F48" s="537">
        <v>3</v>
      </c>
      <c r="G48" s="538">
        <f t="shared" si="3"/>
        <v>50</v>
      </c>
      <c r="H48" s="539">
        <v>7500</v>
      </c>
      <c r="I48" s="538">
        <f>3500-0.63+0.26</f>
        <v>3499.63</v>
      </c>
      <c r="J48" s="538">
        <f t="shared" si="4"/>
        <v>46.661733333333331</v>
      </c>
    </row>
    <row r="49" spans="1:10" ht="38.25" x14ac:dyDescent="0.2">
      <c r="A49" s="534" t="s">
        <v>376</v>
      </c>
      <c r="B49" s="540" t="s">
        <v>481</v>
      </c>
      <c r="C49" s="541" t="s">
        <v>32</v>
      </c>
      <c r="D49" s="536" t="s">
        <v>111</v>
      </c>
      <c r="E49" s="537">
        <v>4</v>
      </c>
      <c r="F49" s="537">
        <v>2</v>
      </c>
      <c r="G49" s="538">
        <f t="shared" si="3"/>
        <v>50</v>
      </c>
      <c r="H49" s="539">
        <v>2500</v>
      </c>
      <c r="I49" s="538">
        <v>1250</v>
      </c>
      <c r="J49" s="538">
        <f t="shared" si="4"/>
        <v>50</v>
      </c>
    </row>
    <row r="50" spans="1:10" ht="38.25" x14ac:dyDescent="0.2">
      <c r="A50" s="534" t="s">
        <v>446</v>
      </c>
      <c r="B50" s="540" t="s">
        <v>482</v>
      </c>
      <c r="C50" s="541" t="s">
        <v>32</v>
      </c>
      <c r="D50" s="536" t="s">
        <v>111</v>
      </c>
      <c r="E50" s="537">
        <v>2</v>
      </c>
      <c r="F50" s="537">
        <v>1</v>
      </c>
      <c r="G50" s="538">
        <f t="shared" si="3"/>
        <v>50</v>
      </c>
      <c r="H50" s="539">
        <v>2000</v>
      </c>
      <c r="I50" s="538">
        <v>1000</v>
      </c>
      <c r="J50" s="538">
        <f t="shared" si="4"/>
        <v>50</v>
      </c>
    </row>
    <row r="51" spans="1:10" ht="51" x14ac:dyDescent="0.2">
      <c r="A51" s="534" t="s">
        <v>519</v>
      </c>
      <c r="B51" s="540" t="s">
        <v>1688</v>
      </c>
      <c r="C51" s="541" t="s">
        <v>32</v>
      </c>
      <c r="D51" s="536" t="s">
        <v>111</v>
      </c>
      <c r="E51" s="537">
        <v>2</v>
      </c>
      <c r="F51" s="537">
        <v>1</v>
      </c>
      <c r="G51" s="538">
        <f t="shared" si="3"/>
        <v>50</v>
      </c>
      <c r="H51" s="539">
        <v>2500</v>
      </c>
      <c r="I51" s="538">
        <v>1250</v>
      </c>
      <c r="J51" s="538">
        <f t="shared" si="4"/>
        <v>50</v>
      </c>
    </row>
    <row r="52" spans="1:10" ht="18" customHeight="1" x14ac:dyDescent="0.2">
      <c r="A52" s="549" t="s">
        <v>447</v>
      </c>
      <c r="B52" s="550" t="s">
        <v>522</v>
      </c>
      <c r="C52" s="551"/>
      <c r="D52" s="552" t="s">
        <v>485</v>
      </c>
      <c r="E52" s="553">
        <v>11</v>
      </c>
      <c r="F52" s="553">
        <v>11</v>
      </c>
      <c r="G52" s="533">
        <f t="shared" si="3"/>
        <v>100</v>
      </c>
      <c r="H52" s="532">
        <v>537405</v>
      </c>
      <c r="I52" s="533">
        <v>277156</v>
      </c>
      <c r="J52" s="533">
        <f t="shared" si="4"/>
        <v>51.573022208576404</v>
      </c>
    </row>
    <row r="53" spans="1:10" ht="18" customHeight="1" x14ac:dyDescent="0.2">
      <c r="A53" s="554" t="s">
        <v>448</v>
      </c>
      <c r="B53" s="555" t="s">
        <v>566</v>
      </c>
      <c r="C53" s="551"/>
      <c r="D53" s="552"/>
      <c r="E53" s="553"/>
      <c r="F53" s="553"/>
      <c r="G53" s="538"/>
      <c r="H53" s="532">
        <f>SUM(H54:H56)</f>
        <v>130511</v>
      </c>
      <c r="I53" s="533">
        <f>SUM(I54:I56)</f>
        <v>65254</v>
      </c>
      <c r="J53" s="533">
        <f t="shared" si="4"/>
        <v>49.998850671590901</v>
      </c>
    </row>
    <row r="54" spans="1:10" ht="15.75" customHeight="1" x14ac:dyDescent="0.2">
      <c r="A54" s="556"/>
      <c r="B54" s="540" t="s">
        <v>483</v>
      </c>
      <c r="C54" s="541" t="s">
        <v>37</v>
      </c>
      <c r="D54" s="557" t="s">
        <v>485</v>
      </c>
      <c r="E54" s="537">
        <v>6</v>
      </c>
      <c r="F54" s="537">
        <v>6</v>
      </c>
      <c r="G54" s="538">
        <f t="shared" si="3"/>
        <v>100</v>
      </c>
      <c r="H54" s="539">
        <v>116327</v>
      </c>
      <c r="I54" s="538">
        <v>58164</v>
      </c>
      <c r="J54" s="538">
        <f t="shared" si="4"/>
        <v>50.00042982282703</v>
      </c>
    </row>
    <row r="55" spans="1:10" ht="15.75" customHeight="1" x14ac:dyDescent="0.2">
      <c r="A55" s="556"/>
      <c r="B55" s="540" t="s">
        <v>1689</v>
      </c>
      <c r="C55" s="541" t="s">
        <v>37</v>
      </c>
      <c r="D55" s="557" t="s">
        <v>485</v>
      </c>
      <c r="E55" s="537">
        <v>6</v>
      </c>
      <c r="F55" s="537">
        <v>6</v>
      </c>
      <c r="G55" s="538">
        <f t="shared" si="3"/>
        <v>100</v>
      </c>
      <c r="H55" s="539">
        <v>10584</v>
      </c>
      <c r="I55" s="538">
        <v>5290</v>
      </c>
      <c r="J55" s="538">
        <f t="shared" si="4"/>
        <v>49.981103552532126</v>
      </c>
    </row>
    <row r="56" spans="1:10" ht="18" customHeight="1" x14ac:dyDescent="0.2">
      <c r="A56" s="2135"/>
      <c r="B56" s="2136" t="s">
        <v>484</v>
      </c>
      <c r="C56" s="311" t="s">
        <v>37</v>
      </c>
      <c r="D56" s="2137" t="s">
        <v>485</v>
      </c>
      <c r="E56" s="331">
        <v>6</v>
      </c>
      <c r="F56" s="331">
        <v>6</v>
      </c>
      <c r="G56" s="512">
        <f t="shared" si="3"/>
        <v>100</v>
      </c>
      <c r="H56" s="341">
        <v>3600</v>
      </c>
      <c r="I56" s="512">
        <v>1800</v>
      </c>
      <c r="J56" s="512">
        <f t="shared" si="4"/>
        <v>50</v>
      </c>
    </row>
    <row r="57" spans="1:10" ht="17.25" customHeight="1" x14ac:dyDescent="0.2">
      <c r="A57" s="2138" t="s">
        <v>377</v>
      </c>
      <c r="B57" s="2139"/>
      <c r="C57" s="2140"/>
      <c r="D57" s="2139"/>
      <c r="E57" s="2138"/>
      <c r="F57" s="2139"/>
      <c r="G57" s="2139"/>
      <c r="H57" s="2108">
        <f>+H58</f>
        <v>514979</v>
      </c>
      <c r="I57" s="2109">
        <f>+I58</f>
        <v>301218.93</v>
      </c>
      <c r="J57" s="2141">
        <f t="shared" si="4"/>
        <v>58.491497711557173</v>
      </c>
    </row>
    <row r="58" spans="1:10" ht="63.75" x14ac:dyDescent="0.2">
      <c r="A58" s="2415">
        <v>1</v>
      </c>
      <c r="B58" s="2402" t="s">
        <v>1691</v>
      </c>
      <c r="C58" s="2404" t="s">
        <v>527</v>
      </c>
      <c r="D58" s="2025" t="s">
        <v>1692</v>
      </c>
      <c r="E58" s="290">
        <v>1</v>
      </c>
      <c r="F58" s="564">
        <v>0.86</v>
      </c>
      <c r="G58" s="291">
        <f t="shared" ref="G58:G61" si="5">+F58/E58*100</f>
        <v>86</v>
      </c>
      <c r="H58" s="2418">
        <v>514979</v>
      </c>
      <c r="I58" s="2421">
        <v>301218.93</v>
      </c>
      <c r="J58" s="2413">
        <f>+I58/H58*100</f>
        <v>58.491497711557173</v>
      </c>
    </row>
    <row r="59" spans="1:10" ht="89.25" x14ac:dyDescent="0.2">
      <c r="A59" s="2416"/>
      <c r="B59" s="2308"/>
      <c r="C59" s="2382"/>
      <c r="D59" s="2025" t="s">
        <v>1693</v>
      </c>
      <c r="E59" s="290">
        <v>7</v>
      </c>
      <c r="F59" s="2142">
        <v>7</v>
      </c>
      <c r="G59" s="291">
        <f t="shared" si="5"/>
        <v>100</v>
      </c>
      <c r="H59" s="2419"/>
      <c r="I59" s="2422"/>
      <c r="J59" s="2320"/>
    </row>
    <row r="60" spans="1:10" ht="63.75" customHeight="1" x14ac:dyDescent="0.2">
      <c r="A60" s="2416"/>
      <c r="B60" s="2308"/>
      <c r="C60" s="2382"/>
      <c r="D60" s="2025" t="s">
        <v>1694</v>
      </c>
      <c r="E60" s="290">
        <v>3</v>
      </c>
      <c r="F60" s="2142">
        <v>3</v>
      </c>
      <c r="G60" s="291">
        <f t="shared" si="5"/>
        <v>100</v>
      </c>
      <c r="H60" s="2419"/>
      <c r="I60" s="2422"/>
      <c r="J60" s="2320"/>
    </row>
    <row r="61" spans="1:10" ht="76.5" x14ac:dyDescent="0.2">
      <c r="A61" s="2417"/>
      <c r="B61" s="2403"/>
      <c r="C61" s="2405"/>
      <c r="D61" s="2025" t="s">
        <v>1695</v>
      </c>
      <c r="E61" s="290">
        <v>80</v>
      </c>
      <c r="F61" s="564">
        <v>46.632890240035437</v>
      </c>
      <c r="G61" s="291">
        <f t="shared" si="5"/>
        <v>58.291112800044296</v>
      </c>
      <c r="H61" s="2420"/>
      <c r="I61" s="2423"/>
      <c r="J61" s="2414"/>
    </row>
  </sheetData>
  <mergeCells count="17">
    <mergeCell ref="J58:J61"/>
    <mergeCell ref="A58:A61"/>
    <mergeCell ref="B58:B61"/>
    <mergeCell ref="C58:C61"/>
    <mergeCell ref="H58:H61"/>
    <mergeCell ref="I58:I61"/>
    <mergeCell ref="A2:B2"/>
    <mergeCell ref="A5:F5"/>
    <mergeCell ref="A6:A7"/>
    <mergeCell ref="B6:B7"/>
    <mergeCell ref="C6:C7"/>
    <mergeCell ref="D6:G6"/>
    <mergeCell ref="H6:J6"/>
    <mergeCell ref="C8:G8"/>
    <mergeCell ref="A11:B11"/>
    <mergeCell ref="A3:J3"/>
    <mergeCell ref="A4:J4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88"/>
  <sheetViews>
    <sheetView view="pageBreakPreview" topLeftCell="A70" zoomScaleNormal="100" zoomScaleSheetLayoutView="100" workbookViewId="0">
      <selection activeCell="G57" sqref="G57"/>
    </sheetView>
  </sheetViews>
  <sheetFormatPr baseColWidth="10" defaultRowHeight="12.75" x14ac:dyDescent="0.2"/>
  <cols>
    <col min="1" max="1" width="4.140625" style="4" customWidth="1"/>
    <col min="2" max="2" width="61.42578125" style="2" customWidth="1"/>
    <col min="3" max="3" width="16.28515625" style="5" customWidth="1"/>
    <col min="4" max="4" width="14.5703125" style="6" customWidth="1"/>
    <col min="5" max="5" width="12.42578125" style="40" customWidth="1"/>
    <col min="6" max="6" width="12.5703125" style="2" customWidth="1"/>
    <col min="7" max="7" width="11.5703125" style="2" customWidth="1"/>
    <col min="8" max="8" width="13.85546875" style="2" customWidth="1"/>
    <col min="9" max="9" width="13.5703125" style="2" customWidth="1"/>
    <col min="10" max="10" width="9.5703125" style="2" customWidth="1"/>
    <col min="11" max="16384" width="11.42578125" style="2"/>
  </cols>
  <sheetData>
    <row r="2" spans="1:11" ht="18" customHeight="1" x14ac:dyDescent="0.2">
      <c r="A2" s="2426" t="s">
        <v>20</v>
      </c>
      <c r="B2" s="2427"/>
      <c r="C2" s="915"/>
      <c r="D2" s="916"/>
      <c r="E2" s="917"/>
      <c r="F2" s="918"/>
      <c r="G2" s="919"/>
      <c r="H2" s="919"/>
      <c r="I2" s="919"/>
      <c r="J2" s="920"/>
    </row>
    <row r="3" spans="1:11" ht="26.25" customHeight="1" x14ac:dyDescent="0.2">
      <c r="A3" s="2429" t="s">
        <v>1145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1" ht="27.75" customHeight="1" x14ac:dyDescent="0.2">
      <c r="A4" s="2366" t="s">
        <v>6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1" ht="24" customHeight="1" x14ac:dyDescent="0.2">
      <c r="A5" s="2431" t="s">
        <v>14</v>
      </c>
      <c r="B5" s="2432"/>
      <c r="C5" s="2432"/>
      <c r="D5" s="2432"/>
      <c r="E5" s="2432"/>
      <c r="F5" s="2432"/>
      <c r="G5" s="2432"/>
      <c r="H5" s="2432"/>
      <c r="I5" s="2432"/>
      <c r="J5" s="2433"/>
    </row>
    <row r="6" spans="1:11" ht="18" customHeight="1" x14ac:dyDescent="0.2">
      <c r="A6" s="2428" t="s">
        <v>0</v>
      </c>
      <c r="B6" s="2428" t="s">
        <v>1</v>
      </c>
      <c r="C6" s="2428" t="s">
        <v>2</v>
      </c>
      <c r="D6" s="2430" t="s">
        <v>773</v>
      </c>
      <c r="E6" s="2430"/>
      <c r="F6" s="2430"/>
      <c r="G6" s="2430"/>
      <c r="H6" s="2430" t="s">
        <v>774</v>
      </c>
      <c r="I6" s="2430"/>
      <c r="J6" s="2430"/>
    </row>
    <row r="7" spans="1:11" ht="25.5" x14ac:dyDescent="0.2">
      <c r="A7" s="2428"/>
      <c r="B7" s="2428"/>
      <c r="C7" s="2428"/>
      <c r="D7" s="921" t="s">
        <v>3</v>
      </c>
      <c r="E7" s="921" t="s">
        <v>4</v>
      </c>
      <c r="F7" s="921" t="s">
        <v>747</v>
      </c>
      <c r="G7" s="921" t="s">
        <v>746</v>
      </c>
      <c r="H7" s="922" t="s">
        <v>748</v>
      </c>
      <c r="I7" s="921" t="s">
        <v>747</v>
      </c>
      <c r="J7" s="921" t="s">
        <v>746</v>
      </c>
    </row>
    <row r="8" spans="1:11" ht="18.75" customHeight="1" x14ac:dyDescent="0.2">
      <c r="A8" s="923"/>
      <c r="B8" s="567"/>
      <c r="C8" s="2425" t="s">
        <v>2740</v>
      </c>
      <c r="D8" s="2425"/>
      <c r="E8" s="2425"/>
      <c r="F8" s="2425"/>
      <c r="G8" s="2425"/>
      <c r="H8" s="924">
        <f>+H9+H11+H18+H20+H23</f>
        <v>32272609</v>
      </c>
      <c r="I8" s="925">
        <f>+I9+I11+I18+I20+I23</f>
        <v>7951277.9399999985</v>
      </c>
      <c r="J8" s="926">
        <f t="shared" ref="J8" si="0">+I8/H8*100</f>
        <v>24.637852923511698</v>
      </c>
    </row>
    <row r="9" spans="1:11" ht="18.75" customHeight="1" x14ac:dyDescent="0.2">
      <c r="A9" s="927"/>
      <c r="B9" s="928" t="s">
        <v>1696</v>
      </c>
      <c r="C9" s="929"/>
      <c r="D9" s="929"/>
      <c r="E9" s="930"/>
      <c r="F9" s="931"/>
      <c r="G9" s="932"/>
      <c r="H9" s="931">
        <f>+H10</f>
        <v>121600</v>
      </c>
      <c r="I9" s="933">
        <f>+I10</f>
        <v>14013.75</v>
      </c>
      <c r="J9" s="934">
        <f t="shared" ref="J9:J11" si="1">+I9/H9*100</f>
        <v>11.524465460526317</v>
      </c>
    </row>
    <row r="10" spans="1:11" ht="26.25" customHeight="1" x14ac:dyDescent="0.2">
      <c r="A10" s="935">
        <v>1</v>
      </c>
      <c r="B10" s="936" t="s">
        <v>1697</v>
      </c>
      <c r="C10" s="937" t="s">
        <v>68</v>
      </c>
      <c r="D10" s="938" t="s">
        <v>414</v>
      </c>
      <c r="E10" s="939">
        <v>1</v>
      </c>
      <c r="F10" s="939">
        <v>1</v>
      </c>
      <c r="G10" s="940">
        <f t="shared" ref="G10" si="2">+F10/E10*100</f>
        <v>100</v>
      </c>
      <c r="H10" s="941">
        <v>121600</v>
      </c>
      <c r="I10" s="942">
        <v>14013.75</v>
      </c>
      <c r="J10" s="940">
        <f t="shared" si="1"/>
        <v>11.524465460526317</v>
      </c>
      <c r="K10" s="32"/>
    </row>
    <row r="11" spans="1:11" ht="25.5" x14ac:dyDescent="0.2">
      <c r="A11" s="943"/>
      <c r="B11" s="944" t="s">
        <v>1703</v>
      </c>
      <c r="C11" s="945"/>
      <c r="D11" s="945"/>
      <c r="E11" s="946"/>
      <c r="F11" s="946"/>
      <c r="G11" s="946"/>
      <c r="H11" s="947">
        <f>SUM(H12:H17)</f>
        <v>2848264</v>
      </c>
      <c r="I11" s="948">
        <f>SUM(I12:I17)</f>
        <v>1328795.99</v>
      </c>
      <c r="J11" s="934">
        <f t="shared" si="1"/>
        <v>46.652838009398003</v>
      </c>
    </row>
    <row r="12" spans="1:11" ht="19.5" customHeight="1" x14ac:dyDescent="0.2">
      <c r="A12" s="949">
        <v>1</v>
      </c>
      <c r="B12" s="950" t="s">
        <v>1701</v>
      </c>
      <c r="C12" s="951" t="s">
        <v>720</v>
      </c>
      <c r="D12" s="951" t="s">
        <v>1698</v>
      </c>
      <c r="E12" s="952">
        <v>5</v>
      </c>
      <c r="F12" s="953">
        <v>2.6</v>
      </c>
      <c r="G12" s="954">
        <f t="shared" ref="G12:G16" si="3">+F12/E12*100</f>
        <v>52</v>
      </c>
      <c r="H12" s="952">
        <v>825190</v>
      </c>
      <c r="I12" s="953">
        <v>513897.5</v>
      </c>
      <c r="J12" s="954">
        <f t="shared" ref="J12:J17" si="4">+I12/H12*100</f>
        <v>62.276263648371888</v>
      </c>
    </row>
    <row r="13" spans="1:11" ht="21" customHeight="1" x14ac:dyDescent="0.2">
      <c r="A13" s="955">
        <v>2</v>
      </c>
      <c r="B13" s="950" t="s">
        <v>1699</v>
      </c>
      <c r="C13" s="951" t="s">
        <v>188</v>
      </c>
      <c r="D13" s="951" t="s">
        <v>1700</v>
      </c>
      <c r="E13" s="952">
        <v>1</v>
      </c>
      <c r="F13" s="953">
        <v>0.34</v>
      </c>
      <c r="G13" s="954">
        <f t="shared" si="3"/>
        <v>34</v>
      </c>
      <c r="H13" s="952">
        <v>363448</v>
      </c>
      <c r="I13" s="953">
        <v>2753.75</v>
      </c>
      <c r="J13" s="954">
        <f t="shared" si="4"/>
        <v>0.75767372498954455</v>
      </c>
    </row>
    <row r="14" spans="1:11" ht="18" customHeight="1" x14ac:dyDescent="0.2">
      <c r="A14" s="955">
        <v>3</v>
      </c>
      <c r="B14" s="950" t="s">
        <v>1702</v>
      </c>
      <c r="C14" s="951" t="s">
        <v>187</v>
      </c>
      <c r="D14" s="951" t="s">
        <v>1700</v>
      </c>
      <c r="E14" s="952">
        <v>1</v>
      </c>
      <c r="F14" s="953">
        <v>0.8</v>
      </c>
      <c r="G14" s="954">
        <f t="shared" si="3"/>
        <v>80</v>
      </c>
      <c r="H14" s="952">
        <v>310697</v>
      </c>
      <c r="I14" s="953">
        <v>183613.08</v>
      </c>
      <c r="J14" s="954">
        <f t="shared" si="4"/>
        <v>59.097152531244269</v>
      </c>
    </row>
    <row r="15" spans="1:11" ht="25.5" x14ac:dyDescent="0.2">
      <c r="A15" s="955">
        <v>4</v>
      </c>
      <c r="B15" s="950" t="s">
        <v>2738</v>
      </c>
      <c r="C15" s="951" t="s">
        <v>349</v>
      </c>
      <c r="D15" s="951" t="s">
        <v>2739</v>
      </c>
      <c r="E15" s="952">
        <v>1</v>
      </c>
      <c r="F15" s="953">
        <v>0.23</v>
      </c>
      <c r="G15" s="954">
        <f t="shared" si="3"/>
        <v>23</v>
      </c>
      <c r="H15" s="952">
        <v>245367</v>
      </c>
      <c r="I15" s="956">
        <v>56739.27</v>
      </c>
      <c r="J15" s="954">
        <f t="shared" si="4"/>
        <v>23.124246536820355</v>
      </c>
    </row>
    <row r="16" spans="1:11" ht="38.25" x14ac:dyDescent="0.2">
      <c r="A16" s="955">
        <v>5</v>
      </c>
      <c r="B16" s="950" t="s">
        <v>2737</v>
      </c>
      <c r="C16" s="951" t="s">
        <v>349</v>
      </c>
      <c r="D16" s="951" t="s">
        <v>2739</v>
      </c>
      <c r="E16" s="952">
        <v>1</v>
      </c>
      <c r="F16" s="953">
        <v>1</v>
      </c>
      <c r="G16" s="954">
        <f t="shared" si="3"/>
        <v>100</v>
      </c>
      <c r="H16" s="952">
        <v>494200</v>
      </c>
      <c r="I16" s="956">
        <v>493946.39</v>
      </c>
      <c r="J16" s="954">
        <f t="shared" si="4"/>
        <v>99.948682719546738</v>
      </c>
    </row>
    <row r="17" spans="1:10" ht="25.5" x14ac:dyDescent="0.2">
      <c r="A17" s="955">
        <v>6</v>
      </c>
      <c r="B17" s="950" t="s">
        <v>1704</v>
      </c>
      <c r="C17" s="951" t="s">
        <v>187</v>
      </c>
      <c r="D17" s="951" t="s">
        <v>1698</v>
      </c>
      <c r="E17" s="957">
        <v>1</v>
      </c>
      <c r="F17" s="957">
        <v>0.52370000000000005</v>
      </c>
      <c r="G17" s="954">
        <f t="shared" ref="G17" si="5">+F17/E17*100</f>
        <v>52.370000000000005</v>
      </c>
      <c r="H17" s="952">
        <v>609362</v>
      </c>
      <c r="I17" s="953">
        <v>77846</v>
      </c>
      <c r="J17" s="954">
        <f t="shared" si="4"/>
        <v>12.775000738477294</v>
      </c>
    </row>
    <row r="18" spans="1:10" ht="17.25" customHeight="1" x14ac:dyDescent="0.2">
      <c r="A18" s="2424" t="s">
        <v>901</v>
      </c>
      <c r="B18" s="2424"/>
      <c r="C18" s="2143"/>
      <c r="D18" s="2143"/>
      <c r="E18" s="2144"/>
      <c r="F18" s="2144"/>
      <c r="G18" s="2144"/>
      <c r="H18" s="931">
        <f>SUM(H19:H19)</f>
        <v>36520</v>
      </c>
      <c r="I18" s="968">
        <f>SUM(I19:I19)</f>
        <v>18259</v>
      </c>
      <c r="J18" s="968">
        <f>+I18/H18*100</f>
        <v>49.997261774370209</v>
      </c>
    </row>
    <row r="19" spans="1:10" ht="28.5" customHeight="1" x14ac:dyDescent="0.2">
      <c r="A19" s="955">
        <v>1</v>
      </c>
      <c r="B19" s="950" t="s">
        <v>1705</v>
      </c>
      <c r="C19" s="937" t="s">
        <v>68</v>
      </c>
      <c r="D19" s="962" t="s">
        <v>41</v>
      </c>
      <c r="E19" s="2145">
        <v>1</v>
      </c>
      <c r="F19" s="2145">
        <v>1</v>
      </c>
      <c r="G19" s="2146">
        <v>100</v>
      </c>
      <c r="H19" s="941">
        <v>36520</v>
      </c>
      <c r="I19" s="956">
        <v>18259</v>
      </c>
      <c r="J19" s="956">
        <f>+I19*100/H19</f>
        <v>49.997261774370209</v>
      </c>
    </row>
    <row r="20" spans="1:10" ht="17.25" customHeight="1" x14ac:dyDescent="0.2">
      <c r="A20" s="2424" t="s">
        <v>919</v>
      </c>
      <c r="B20" s="2424"/>
      <c r="C20" s="2147"/>
      <c r="D20" s="928"/>
      <c r="E20" s="2148"/>
      <c r="F20" s="928"/>
      <c r="G20" s="928"/>
      <c r="H20" s="931">
        <f>SUM(H21:H22)</f>
        <v>2335209</v>
      </c>
      <c r="I20" s="968">
        <f>SUM(I21:I22)</f>
        <v>795783.01</v>
      </c>
      <c r="J20" s="968">
        <f>+I20/H20*100</f>
        <v>34.077592626612862</v>
      </c>
    </row>
    <row r="21" spans="1:10" ht="44.25" customHeight="1" x14ac:dyDescent="0.2">
      <c r="A21" s="955">
        <v>1</v>
      </c>
      <c r="B21" s="2149" t="s">
        <v>1707</v>
      </c>
      <c r="C21" s="2150" t="s">
        <v>527</v>
      </c>
      <c r="D21" s="962" t="s">
        <v>1706</v>
      </c>
      <c r="E21" s="957">
        <v>12</v>
      </c>
      <c r="F21" s="957">
        <v>7.25</v>
      </c>
      <c r="G21" s="956">
        <f t="shared" ref="G21:G22" si="6">+F21/E21*100</f>
        <v>60.416666666666664</v>
      </c>
      <c r="H21" s="952">
        <v>2327209</v>
      </c>
      <c r="I21" s="953">
        <v>791557.81</v>
      </c>
      <c r="J21" s="940">
        <f>+I21/H21*100</f>
        <v>34.013181024996037</v>
      </c>
    </row>
    <row r="22" spans="1:10" ht="42.75" customHeight="1" x14ac:dyDescent="0.2">
      <c r="A22" s="955">
        <v>2</v>
      </c>
      <c r="B22" s="2149" t="s">
        <v>1708</v>
      </c>
      <c r="C22" s="2150" t="s">
        <v>527</v>
      </c>
      <c r="D22" s="962" t="s">
        <v>1706</v>
      </c>
      <c r="E22" s="957">
        <v>4</v>
      </c>
      <c r="F22" s="2146">
        <v>4</v>
      </c>
      <c r="G22" s="956">
        <f t="shared" si="6"/>
        <v>100</v>
      </c>
      <c r="H22" s="952">
        <v>8000</v>
      </c>
      <c r="I22" s="953">
        <v>4225.2</v>
      </c>
      <c r="J22" s="940">
        <f t="shared" ref="J22" si="7">+I22/H22*100</f>
        <v>52.814999999999998</v>
      </c>
    </row>
    <row r="23" spans="1:10" ht="17.25" customHeight="1" x14ac:dyDescent="0.2">
      <c r="A23" s="961" t="s">
        <v>1709</v>
      </c>
      <c r="B23" s="965"/>
      <c r="C23" s="966"/>
      <c r="D23" s="966"/>
      <c r="E23" s="967"/>
      <c r="F23" s="967"/>
      <c r="G23" s="967"/>
      <c r="H23" s="185">
        <f>+H24+H50+H52+H54+H63+H75+H87+H84</f>
        <v>26931016</v>
      </c>
      <c r="I23" s="199">
        <f>+I24+I50+I52+I54+I63+I75+I87+I84</f>
        <v>5794426.1899999985</v>
      </c>
      <c r="J23" s="968">
        <f>I25/H25*100</f>
        <v>26.944759292142038</v>
      </c>
    </row>
    <row r="24" spans="1:10" ht="17.25" customHeight="1" x14ac:dyDescent="0.2">
      <c r="A24" s="927">
        <v>1</v>
      </c>
      <c r="B24" s="969" t="s">
        <v>1710</v>
      </c>
      <c r="C24" s="970"/>
      <c r="D24" s="970"/>
      <c r="E24" s="971"/>
      <c r="F24" s="971"/>
      <c r="G24" s="971"/>
      <c r="H24" s="972">
        <f>SUM(H25:H49)</f>
        <v>6359360</v>
      </c>
      <c r="I24" s="973">
        <f>SUM(I25:I49)</f>
        <v>1358065.2099999997</v>
      </c>
      <c r="J24" s="973">
        <f>I26/H26*100</f>
        <v>25.447900565049814</v>
      </c>
    </row>
    <row r="25" spans="1:10" ht="27.75" customHeight="1" x14ac:dyDescent="0.2">
      <c r="A25" s="974">
        <v>1.1000000000000001</v>
      </c>
      <c r="B25" s="975" t="s">
        <v>1711</v>
      </c>
      <c r="C25" s="1044" t="s">
        <v>1712</v>
      </c>
      <c r="D25" s="958" t="s">
        <v>1713</v>
      </c>
      <c r="E25" s="956">
        <v>28.1</v>
      </c>
      <c r="F25" s="956">
        <v>28.1</v>
      </c>
      <c r="G25" s="976">
        <f>F25/E25*100</f>
        <v>100</v>
      </c>
      <c r="H25" s="941">
        <v>282147</v>
      </c>
      <c r="I25" s="956">
        <v>76023.83</v>
      </c>
      <c r="J25" s="964">
        <f>I27/H27*100</f>
        <v>23.692536491324702</v>
      </c>
    </row>
    <row r="26" spans="1:10" ht="17.25" customHeight="1" x14ac:dyDescent="0.2">
      <c r="A26" s="977">
        <v>1.2</v>
      </c>
      <c r="B26" s="975" t="s">
        <v>1714</v>
      </c>
      <c r="C26" s="958" t="s">
        <v>735</v>
      </c>
      <c r="D26" s="958" t="s">
        <v>1713</v>
      </c>
      <c r="E26" s="956">
        <v>33.020000000000003</v>
      </c>
      <c r="F26" s="956">
        <v>33.020000000000003</v>
      </c>
      <c r="G26" s="976">
        <f t="shared" ref="G26:G86" si="8">F26/E26*100</f>
        <v>100</v>
      </c>
      <c r="H26" s="941">
        <v>347403</v>
      </c>
      <c r="I26" s="956">
        <v>88406.77</v>
      </c>
      <c r="J26" s="964">
        <f t="shared" ref="J26:J80" si="9">I26/H26*100</f>
        <v>25.447900565049814</v>
      </c>
    </row>
    <row r="27" spans="1:10" ht="17.25" customHeight="1" x14ac:dyDescent="0.2">
      <c r="A27" s="974">
        <v>1.3</v>
      </c>
      <c r="B27" s="975" t="s">
        <v>1715</v>
      </c>
      <c r="C27" s="958" t="s">
        <v>186</v>
      </c>
      <c r="D27" s="958" t="s">
        <v>1713</v>
      </c>
      <c r="E27" s="956">
        <v>14.6</v>
      </c>
      <c r="F27" s="956">
        <v>14.6</v>
      </c>
      <c r="G27" s="976">
        <f t="shared" si="8"/>
        <v>100</v>
      </c>
      <c r="H27" s="941">
        <v>145240</v>
      </c>
      <c r="I27" s="956">
        <v>34411.040000000001</v>
      </c>
      <c r="J27" s="964">
        <f t="shared" si="9"/>
        <v>23.692536491324702</v>
      </c>
    </row>
    <row r="28" spans="1:10" ht="17.25" customHeight="1" x14ac:dyDescent="0.2">
      <c r="A28" s="974">
        <v>1.4</v>
      </c>
      <c r="B28" s="975" t="s">
        <v>1716</v>
      </c>
      <c r="C28" s="978" t="s">
        <v>187</v>
      </c>
      <c r="D28" s="979" t="s">
        <v>1713</v>
      </c>
      <c r="E28" s="956">
        <v>8.06</v>
      </c>
      <c r="F28" s="956">
        <v>8.06</v>
      </c>
      <c r="G28" s="976">
        <f t="shared" si="8"/>
        <v>100</v>
      </c>
      <c r="H28" s="941">
        <v>111094</v>
      </c>
      <c r="I28" s="956">
        <v>27400</v>
      </c>
      <c r="J28" s="964">
        <f t="shared" si="9"/>
        <v>24.663798224926641</v>
      </c>
    </row>
    <row r="29" spans="1:10" ht="17.25" customHeight="1" x14ac:dyDescent="0.2">
      <c r="A29" s="977">
        <v>1.5</v>
      </c>
      <c r="B29" s="975" t="s">
        <v>1717</v>
      </c>
      <c r="C29" s="978" t="s">
        <v>187</v>
      </c>
      <c r="D29" s="979" t="s">
        <v>1713</v>
      </c>
      <c r="E29" s="956">
        <v>25.85</v>
      </c>
      <c r="F29" s="956">
        <v>25.85</v>
      </c>
      <c r="G29" s="976">
        <f t="shared" si="8"/>
        <v>100</v>
      </c>
      <c r="H29" s="941">
        <v>263383</v>
      </c>
      <c r="I29" s="956">
        <v>64093.37</v>
      </c>
      <c r="J29" s="964">
        <f t="shared" si="9"/>
        <v>24.334664727791846</v>
      </c>
    </row>
    <row r="30" spans="1:10" ht="17.25" customHeight="1" x14ac:dyDescent="0.2">
      <c r="A30" s="974">
        <v>1.6</v>
      </c>
      <c r="B30" s="975" t="s">
        <v>1718</v>
      </c>
      <c r="C30" s="978" t="s">
        <v>735</v>
      </c>
      <c r="D30" s="979" t="s">
        <v>1713</v>
      </c>
      <c r="E30" s="956">
        <v>22.92</v>
      </c>
      <c r="F30" s="956">
        <v>22.92</v>
      </c>
      <c r="G30" s="976">
        <f t="shared" si="8"/>
        <v>100</v>
      </c>
      <c r="H30" s="941">
        <v>227715</v>
      </c>
      <c r="I30" s="956">
        <v>57948.6</v>
      </c>
      <c r="J30" s="964">
        <f t="shared" si="9"/>
        <v>25.447862459653514</v>
      </c>
    </row>
    <row r="31" spans="1:10" ht="17.25" customHeight="1" x14ac:dyDescent="0.2">
      <c r="A31" s="974">
        <v>1.7</v>
      </c>
      <c r="B31" s="975" t="s">
        <v>1719</v>
      </c>
      <c r="C31" s="978" t="s">
        <v>735</v>
      </c>
      <c r="D31" s="979" t="s">
        <v>1713</v>
      </c>
      <c r="E31" s="956">
        <v>13.5</v>
      </c>
      <c r="F31" s="956">
        <v>13.5</v>
      </c>
      <c r="G31" s="976">
        <f t="shared" si="8"/>
        <v>100</v>
      </c>
      <c r="H31" s="941">
        <v>150116</v>
      </c>
      <c r="I31" s="956">
        <v>38201.07</v>
      </c>
      <c r="J31" s="964">
        <f t="shared" si="9"/>
        <v>25.447700444989209</v>
      </c>
    </row>
    <row r="32" spans="1:10" ht="17.25" customHeight="1" x14ac:dyDescent="0.2">
      <c r="A32" s="977">
        <v>1.8</v>
      </c>
      <c r="B32" s="975" t="s">
        <v>1720</v>
      </c>
      <c r="C32" s="978" t="s">
        <v>735</v>
      </c>
      <c r="D32" s="979" t="s">
        <v>1713</v>
      </c>
      <c r="E32" s="956">
        <v>48</v>
      </c>
      <c r="F32" s="956">
        <v>48</v>
      </c>
      <c r="G32" s="976">
        <f t="shared" si="8"/>
        <v>100</v>
      </c>
      <c r="H32" s="941">
        <v>525453</v>
      </c>
      <c r="I32" s="956">
        <v>133806.35999999999</v>
      </c>
      <c r="J32" s="964">
        <f t="shared" si="9"/>
        <v>25.464953097612913</v>
      </c>
    </row>
    <row r="33" spans="1:10" ht="25.5" x14ac:dyDescent="0.2">
      <c r="A33" s="974">
        <v>1.9</v>
      </c>
      <c r="B33" s="936" t="s">
        <v>1721</v>
      </c>
      <c r="C33" s="978" t="s">
        <v>186</v>
      </c>
      <c r="D33" s="979" t="s">
        <v>1713</v>
      </c>
      <c r="E33" s="956">
        <v>36</v>
      </c>
      <c r="F33" s="956">
        <v>36</v>
      </c>
      <c r="G33" s="976">
        <f t="shared" si="8"/>
        <v>100</v>
      </c>
      <c r="H33" s="941">
        <v>366062</v>
      </c>
      <c r="I33" s="956">
        <v>91837.53</v>
      </c>
      <c r="J33" s="964">
        <f t="shared" si="9"/>
        <v>25.087971436532609</v>
      </c>
    </row>
    <row r="34" spans="1:10" ht="17.25" customHeight="1" x14ac:dyDescent="0.2">
      <c r="A34" s="980">
        <v>1.1000000000000001</v>
      </c>
      <c r="B34" s="975" t="s">
        <v>2501</v>
      </c>
      <c r="C34" s="978" t="s">
        <v>187</v>
      </c>
      <c r="D34" s="979" t="s">
        <v>1713</v>
      </c>
      <c r="E34" s="956">
        <v>18.2</v>
      </c>
      <c r="F34" s="956">
        <v>18.2</v>
      </c>
      <c r="G34" s="976">
        <f t="shared" si="8"/>
        <v>100</v>
      </c>
      <c r="H34" s="941">
        <v>152134</v>
      </c>
      <c r="I34" s="956">
        <v>38360</v>
      </c>
      <c r="J34" s="964">
        <f t="shared" si="9"/>
        <v>25.214613432894684</v>
      </c>
    </row>
    <row r="35" spans="1:10" ht="17.25" customHeight="1" x14ac:dyDescent="0.2">
      <c r="A35" s="980">
        <v>1.1100000000000001</v>
      </c>
      <c r="B35" s="975" t="s">
        <v>1722</v>
      </c>
      <c r="C35" s="978" t="s">
        <v>735</v>
      </c>
      <c r="D35" s="979" t="s">
        <v>1713</v>
      </c>
      <c r="E35" s="956">
        <v>62</v>
      </c>
      <c r="F35" s="956">
        <v>62</v>
      </c>
      <c r="G35" s="976">
        <f t="shared" si="8"/>
        <v>100</v>
      </c>
      <c r="H35" s="941">
        <v>692201</v>
      </c>
      <c r="I35" s="956">
        <v>166573.60999999999</v>
      </c>
      <c r="J35" s="964">
        <f t="shared" si="9"/>
        <v>24.064341137906471</v>
      </c>
    </row>
    <row r="36" spans="1:10" ht="17.25" customHeight="1" x14ac:dyDescent="0.2">
      <c r="A36" s="980">
        <v>1.1200000000000001</v>
      </c>
      <c r="B36" s="981" t="s">
        <v>1723</v>
      </c>
      <c r="C36" s="978" t="s">
        <v>186</v>
      </c>
      <c r="D36" s="979" t="s">
        <v>1713</v>
      </c>
      <c r="E36" s="2020">
        <v>25.45</v>
      </c>
      <c r="F36" s="2020">
        <v>25.45</v>
      </c>
      <c r="G36" s="976">
        <f t="shared" si="8"/>
        <v>100</v>
      </c>
      <c r="H36" s="941">
        <v>179040</v>
      </c>
      <c r="I36" s="956">
        <v>42256.63</v>
      </c>
      <c r="J36" s="964">
        <f t="shared" si="9"/>
        <v>23.601781724754243</v>
      </c>
    </row>
    <row r="37" spans="1:10" ht="17.25" customHeight="1" x14ac:dyDescent="0.2">
      <c r="A37" s="980">
        <v>1.1299999999999999</v>
      </c>
      <c r="B37" s="982" t="s">
        <v>1724</v>
      </c>
      <c r="C37" s="978" t="s">
        <v>187</v>
      </c>
      <c r="D37" s="979" t="s">
        <v>1713</v>
      </c>
      <c r="E37" s="2020">
        <v>15</v>
      </c>
      <c r="F37" s="2020">
        <v>15</v>
      </c>
      <c r="G37" s="976">
        <f t="shared" si="8"/>
        <v>100</v>
      </c>
      <c r="H37" s="941">
        <v>128979</v>
      </c>
      <c r="I37" s="956">
        <v>30687.98</v>
      </c>
      <c r="J37" s="964">
        <f t="shared" si="9"/>
        <v>23.793005062839686</v>
      </c>
    </row>
    <row r="38" spans="1:10" ht="17.25" customHeight="1" x14ac:dyDescent="0.2">
      <c r="A38" s="980">
        <v>1.1399999999999999</v>
      </c>
      <c r="B38" s="982" t="s">
        <v>1725</v>
      </c>
      <c r="C38" s="978" t="s">
        <v>187</v>
      </c>
      <c r="D38" s="979" t="s">
        <v>1713</v>
      </c>
      <c r="E38" s="2020">
        <v>15</v>
      </c>
      <c r="F38" s="2020">
        <v>0</v>
      </c>
      <c r="G38" s="976">
        <f t="shared" si="8"/>
        <v>0</v>
      </c>
      <c r="H38" s="941">
        <v>44330</v>
      </c>
      <c r="I38" s="956">
        <v>0</v>
      </c>
      <c r="J38" s="964">
        <f t="shared" si="9"/>
        <v>0</v>
      </c>
    </row>
    <row r="39" spans="1:10" ht="15" customHeight="1" x14ac:dyDescent="0.2">
      <c r="A39" s="980">
        <v>1.1499999999999999</v>
      </c>
      <c r="B39" s="982" t="s">
        <v>1726</v>
      </c>
      <c r="C39" s="978" t="s">
        <v>735</v>
      </c>
      <c r="D39" s="979" t="s">
        <v>1713</v>
      </c>
      <c r="E39" s="2020">
        <v>30</v>
      </c>
      <c r="F39" s="2020">
        <v>30</v>
      </c>
      <c r="G39" s="976">
        <f t="shared" si="8"/>
        <v>100</v>
      </c>
      <c r="H39" s="941">
        <v>203005</v>
      </c>
      <c r="I39" s="956">
        <v>37260.339999999997</v>
      </c>
      <c r="J39" s="964">
        <f t="shared" si="9"/>
        <v>18.354395211940592</v>
      </c>
    </row>
    <row r="40" spans="1:10" ht="25.5" x14ac:dyDescent="0.2">
      <c r="A40" s="980">
        <v>1.1599999999999999</v>
      </c>
      <c r="B40" s="983" t="s">
        <v>1727</v>
      </c>
      <c r="C40" s="978" t="s">
        <v>1728</v>
      </c>
      <c r="D40" s="979" t="s">
        <v>1713</v>
      </c>
      <c r="E40" s="2020">
        <v>45</v>
      </c>
      <c r="F40" s="2020">
        <v>45</v>
      </c>
      <c r="G40" s="976">
        <f t="shared" si="8"/>
        <v>100</v>
      </c>
      <c r="H40" s="941">
        <v>476823</v>
      </c>
      <c r="I40" s="956">
        <v>112741.75999999999</v>
      </c>
      <c r="J40" s="964">
        <f t="shared" si="9"/>
        <v>23.644362792902189</v>
      </c>
    </row>
    <row r="41" spans="1:10" ht="27" customHeight="1" x14ac:dyDescent="0.2">
      <c r="A41" s="980">
        <v>1.17</v>
      </c>
      <c r="B41" s="983" t="s">
        <v>1729</v>
      </c>
      <c r="C41" s="978" t="s">
        <v>1730</v>
      </c>
      <c r="D41" s="979" t="s">
        <v>1713</v>
      </c>
      <c r="E41" s="2020">
        <v>69</v>
      </c>
      <c r="F41" s="2020">
        <v>69</v>
      </c>
      <c r="G41" s="976">
        <f t="shared" si="8"/>
        <v>100</v>
      </c>
      <c r="H41" s="941">
        <v>747858</v>
      </c>
      <c r="I41" s="956">
        <v>144803.51</v>
      </c>
      <c r="J41" s="964">
        <f t="shared" si="9"/>
        <v>19.362433777535308</v>
      </c>
    </row>
    <row r="42" spans="1:10" ht="17.25" customHeight="1" x14ac:dyDescent="0.2">
      <c r="A42" s="980">
        <v>1.18</v>
      </c>
      <c r="B42" s="982" t="s">
        <v>1731</v>
      </c>
      <c r="C42" s="978" t="s">
        <v>186</v>
      </c>
      <c r="D42" s="979" t="s">
        <v>1713</v>
      </c>
      <c r="E42" s="2020">
        <v>26</v>
      </c>
      <c r="F42" s="2020">
        <v>26</v>
      </c>
      <c r="G42" s="976">
        <f t="shared" si="8"/>
        <v>100</v>
      </c>
      <c r="H42" s="941">
        <v>121069</v>
      </c>
      <c r="I42" s="956">
        <v>49438.49</v>
      </c>
      <c r="J42" s="964">
        <f t="shared" si="9"/>
        <v>40.834970140993974</v>
      </c>
    </row>
    <row r="43" spans="1:10" ht="24.75" customHeight="1" x14ac:dyDescent="0.2">
      <c r="A43" s="980">
        <v>1.19</v>
      </c>
      <c r="B43" s="983" t="s">
        <v>1732</v>
      </c>
      <c r="C43" s="978" t="s">
        <v>1733</v>
      </c>
      <c r="D43" s="979" t="s">
        <v>1713</v>
      </c>
      <c r="E43" s="2021">
        <v>111.06</v>
      </c>
      <c r="F43" s="2020">
        <v>0</v>
      </c>
      <c r="G43" s="976">
        <f t="shared" si="8"/>
        <v>0</v>
      </c>
      <c r="H43" s="941">
        <v>631659</v>
      </c>
      <c r="I43" s="956">
        <v>0</v>
      </c>
      <c r="J43" s="964">
        <f t="shared" si="9"/>
        <v>0</v>
      </c>
    </row>
    <row r="44" spans="1:10" ht="17.25" customHeight="1" x14ac:dyDescent="0.2">
      <c r="A44" s="980">
        <v>1.2</v>
      </c>
      <c r="B44" s="982" t="s">
        <v>1734</v>
      </c>
      <c r="C44" s="978" t="s">
        <v>186</v>
      </c>
      <c r="D44" s="979" t="s">
        <v>1713</v>
      </c>
      <c r="E44" s="2020">
        <v>7</v>
      </c>
      <c r="F44" s="2020">
        <v>0</v>
      </c>
      <c r="G44" s="976">
        <f t="shared" si="8"/>
        <v>0</v>
      </c>
      <c r="H44" s="984">
        <v>34431</v>
      </c>
      <c r="I44" s="964">
        <v>0</v>
      </c>
      <c r="J44" s="964">
        <f t="shared" si="9"/>
        <v>0</v>
      </c>
    </row>
    <row r="45" spans="1:10" ht="17.25" customHeight="1" x14ac:dyDescent="0.2">
      <c r="A45" s="980">
        <v>1.21</v>
      </c>
      <c r="B45" s="982" t="s">
        <v>1735</v>
      </c>
      <c r="C45" s="978" t="s">
        <v>186</v>
      </c>
      <c r="D45" s="979" t="s">
        <v>1713</v>
      </c>
      <c r="E45" s="2020">
        <v>12</v>
      </c>
      <c r="F45" s="2020">
        <v>0</v>
      </c>
      <c r="G45" s="976">
        <f t="shared" si="8"/>
        <v>0</v>
      </c>
      <c r="H45" s="984">
        <v>51930</v>
      </c>
      <c r="I45" s="964">
        <v>0</v>
      </c>
      <c r="J45" s="964">
        <f t="shared" si="9"/>
        <v>0</v>
      </c>
    </row>
    <row r="46" spans="1:10" ht="17.25" customHeight="1" x14ac:dyDescent="0.2">
      <c r="A46" s="980">
        <v>1.22</v>
      </c>
      <c r="B46" s="985" t="s">
        <v>1736</v>
      </c>
      <c r="C46" s="978" t="s">
        <v>37</v>
      </c>
      <c r="D46" s="979" t="s">
        <v>1713</v>
      </c>
      <c r="E46" s="976">
        <v>665.76</v>
      </c>
      <c r="F46" s="976">
        <v>665.76</v>
      </c>
      <c r="G46" s="976">
        <f t="shared" si="8"/>
        <v>100</v>
      </c>
      <c r="H46" s="941">
        <v>40000</v>
      </c>
      <c r="I46" s="956">
        <v>18265.64</v>
      </c>
      <c r="J46" s="964">
        <f t="shared" si="9"/>
        <v>45.664099999999998</v>
      </c>
    </row>
    <row r="47" spans="1:10" ht="17.25" customHeight="1" x14ac:dyDescent="0.2">
      <c r="A47" s="980">
        <v>1.23</v>
      </c>
      <c r="B47" s="985" t="s">
        <v>1737</v>
      </c>
      <c r="C47" s="978" t="s">
        <v>37</v>
      </c>
      <c r="D47" s="979" t="s">
        <v>1713</v>
      </c>
      <c r="E47" s="976">
        <v>665.76</v>
      </c>
      <c r="F47" s="976">
        <v>665.76</v>
      </c>
      <c r="G47" s="976">
        <f t="shared" si="8"/>
        <v>100</v>
      </c>
      <c r="H47" s="941">
        <v>147288</v>
      </c>
      <c r="I47" s="956">
        <v>44352.92</v>
      </c>
      <c r="J47" s="964">
        <f t="shared" si="9"/>
        <v>30.113057411330178</v>
      </c>
    </row>
    <row r="48" spans="1:10" ht="17.25" customHeight="1" x14ac:dyDescent="0.2">
      <c r="A48" s="980">
        <v>1.24</v>
      </c>
      <c r="B48" s="986" t="s">
        <v>1738</v>
      </c>
      <c r="C48" s="978" t="s">
        <v>37</v>
      </c>
      <c r="D48" s="979" t="s">
        <v>1713</v>
      </c>
      <c r="E48" s="976">
        <v>665.76</v>
      </c>
      <c r="F48" s="976">
        <v>665.76</v>
      </c>
      <c r="G48" s="976">
        <f t="shared" si="8"/>
        <v>100</v>
      </c>
      <c r="H48" s="941">
        <v>40000</v>
      </c>
      <c r="I48" s="956">
        <v>12727.9</v>
      </c>
      <c r="J48" s="964">
        <f t="shared" si="9"/>
        <v>31.819749999999996</v>
      </c>
    </row>
    <row r="49" spans="1:10" ht="17.25" customHeight="1" x14ac:dyDescent="0.2">
      <c r="A49" s="980">
        <v>1.25</v>
      </c>
      <c r="B49" s="987" t="s">
        <v>1739</v>
      </c>
      <c r="C49" s="978" t="s">
        <v>37</v>
      </c>
      <c r="D49" s="979" t="s">
        <v>1713</v>
      </c>
      <c r="E49" s="976">
        <v>80</v>
      </c>
      <c r="F49" s="976">
        <v>19.39</v>
      </c>
      <c r="G49" s="976">
        <f>F49/E49*100</f>
        <v>24.237500000000001</v>
      </c>
      <c r="H49" s="941">
        <v>250000</v>
      </c>
      <c r="I49" s="956">
        <v>48467.86</v>
      </c>
      <c r="J49" s="964">
        <f t="shared" si="9"/>
        <v>19.387143999999999</v>
      </c>
    </row>
    <row r="50" spans="1:10" ht="17.25" customHeight="1" x14ac:dyDescent="0.2">
      <c r="A50" s="927">
        <v>2</v>
      </c>
      <c r="B50" s="969" t="s">
        <v>1740</v>
      </c>
      <c r="C50" s="988"/>
      <c r="D50" s="989"/>
      <c r="E50" s="990"/>
      <c r="F50" s="990"/>
      <c r="G50" s="990"/>
      <c r="H50" s="972">
        <f>SUM(H51:H51)</f>
        <v>63000</v>
      </c>
      <c r="I50" s="973">
        <f>SUM(I51:I51)</f>
        <v>20425.099999999999</v>
      </c>
      <c r="J50" s="973">
        <f t="shared" si="9"/>
        <v>32.420793650793648</v>
      </c>
    </row>
    <row r="51" spans="1:10" ht="24.75" customHeight="1" x14ac:dyDescent="0.2">
      <c r="A51" s="974">
        <v>2.1</v>
      </c>
      <c r="B51" s="986" t="s">
        <v>1741</v>
      </c>
      <c r="C51" s="978" t="s">
        <v>37</v>
      </c>
      <c r="D51" s="979" t="s">
        <v>1713</v>
      </c>
      <c r="E51" s="976">
        <v>124</v>
      </c>
      <c r="F51" s="976">
        <v>124</v>
      </c>
      <c r="G51" s="976">
        <f t="shared" si="8"/>
        <v>100</v>
      </c>
      <c r="H51" s="941">
        <v>63000</v>
      </c>
      <c r="I51" s="956">
        <v>20425.099999999999</v>
      </c>
      <c r="J51" s="964">
        <f t="shared" si="9"/>
        <v>32.420793650793648</v>
      </c>
    </row>
    <row r="52" spans="1:10" ht="17.25" customHeight="1" x14ac:dyDescent="0.2">
      <c r="A52" s="927">
        <v>3</v>
      </c>
      <c r="B52" s="969" t="s">
        <v>1742</v>
      </c>
      <c r="C52" s="991"/>
      <c r="D52" s="991"/>
      <c r="E52" s="992"/>
      <c r="F52" s="992"/>
      <c r="G52" s="992"/>
      <c r="H52" s="972">
        <f>+H53</f>
        <v>300000</v>
      </c>
      <c r="I52" s="973">
        <f>+I53</f>
        <v>94666.63</v>
      </c>
      <c r="J52" s="973">
        <f t="shared" si="9"/>
        <v>31.555543333333336</v>
      </c>
    </row>
    <row r="53" spans="1:10" ht="17.25" customHeight="1" x14ac:dyDescent="0.2">
      <c r="A53" s="993">
        <v>3.1</v>
      </c>
      <c r="B53" s="975" t="s">
        <v>1742</v>
      </c>
      <c r="C53" s="994" t="s">
        <v>37</v>
      </c>
      <c r="D53" s="995" t="s">
        <v>1713</v>
      </c>
      <c r="E53" s="996">
        <v>200</v>
      </c>
      <c r="F53" s="996">
        <f>+J53*E53/100</f>
        <v>63.111086666666672</v>
      </c>
      <c r="G53" s="976">
        <f t="shared" si="8"/>
        <v>31.555543333333336</v>
      </c>
      <c r="H53" s="941">
        <v>300000</v>
      </c>
      <c r="I53" s="956">
        <v>94666.63</v>
      </c>
      <c r="J53" s="964">
        <f t="shared" si="9"/>
        <v>31.555543333333336</v>
      </c>
    </row>
    <row r="54" spans="1:10" ht="17.25" customHeight="1" x14ac:dyDescent="0.2">
      <c r="A54" s="927">
        <v>4</v>
      </c>
      <c r="B54" s="969" t="s">
        <v>1743</v>
      </c>
      <c r="C54" s="997"/>
      <c r="D54" s="997"/>
      <c r="E54" s="973"/>
      <c r="F54" s="973"/>
      <c r="G54" s="973"/>
      <c r="H54" s="972">
        <f>SUM(H55:H62)</f>
        <v>8632685</v>
      </c>
      <c r="I54" s="973">
        <f>SUM(I55:I62)</f>
        <v>630280.52</v>
      </c>
      <c r="J54" s="973">
        <f t="shared" si="9"/>
        <v>7.3010948505592408</v>
      </c>
    </row>
    <row r="55" spans="1:10" ht="17.25" customHeight="1" x14ac:dyDescent="0.2">
      <c r="A55" s="974">
        <v>4.0999999999999996</v>
      </c>
      <c r="B55" s="985" t="s">
        <v>1744</v>
      </c>
      <c r="C55" s="978" t="s">
        <v>37</v>
      </c>
      <c r="D55" s="979" t="s">
        <v>1713</v>
      </c>
      <c r="E55" s="976">
        <v>42</v>
      </c>
      <c r="F55" s="976">
        <v>42</v>
      </c>
      <c r="G55" s="976">
        <f t="shared" si="8"/>
        <v>100</v>
      </c>
      <c r="H55" s="941">
        <v>17640</v>
      </c>
      <c r="I55" s="956">
        <v>17640</v>
      </c>
      <c r="J55" s="964">
        <f t="shared" si="9"/>
        <v>100</v>
      </c>
    </row>
    <row r="56" spans="1:10" ht="17.25" customHeight="1" x14ac:dyDescent="0.2">
      <c r="A56" s="974">
        <v>4.2</v>
      </c>
      <c r="B56" s="985" t="s">
        <v>1745</v>
      </c>
      <c r="C56" s="978" t="s">
        <v>525</v>
      </c>
      <c r="D56" s="979" t="s">
        <v>1713</v>
      </c>
      <c r="E56" s="976">
        <v>30</v>
      </c>
      <c r="F56" s="976">
        <v>30</v>
      </c>
      <c r="G56" s="976">
        <f t="shared" si="8"/>
        <v>100</v>
      </c>
      <c r="H56" s="941">
        <v>692170</v>
      </c>
      <c r="I56" s="964">
        <v>612640.52</v>
      </c>
      <c r="J56" s="964">
        <f t="shared" si="9"/>
        <v>88.510123235621307</v>
      </c>
    </row>
    <row r="57" spans="1:10" ht="17.25" customHeight="1" x14ac:dyDescent="0.2">
      <c r="A57" s="974">
        <v>4.3</v>
      </c>
      <c r="B57" s="998" t="s">
        <v>1746</v>
      </c>
      <c r="C57" s="958" t="s">
        <v>735</v>
      </c>
      <c r="D57" s="937" t="s">
        <v>1713</v>
      </c>
      <c r="E57" s="2020">
        <v>25</v>
      </c>
      <c r="F57" s="976">
        <v>0</v>
      </c>
      <c r="G57" s="976">
        <f t="shared" si="8"/>
        <v>0</v>
      </c>
      <c r="H57" s="984">
        <v>1287651</v>
      </c>
      <c r="I57" s="956">
        <v>0</v>
      </c>
      <c r="J57" s="964">
        <f t="shared" si="9"/>
        <v>0</v>
      </c>
    </row>
    <row r="58" spans="1:10" ht="17.25" customHeight="1" x14ac:dyDescent="0.2">
      <c r="A58" s="974">
        <v>4.4000000000000004</v>
      </c>
      <c r="B58" s="975" t="s">
        <v>1747</v>
      </c>
      <c r="C58" s="958" t="s">
        <v>187</v>
      </c>
      <c r="D58" s="937" t="s">
        <v>1713</v>
      </c>
      <c r="E58" s="2020">
        <v>25.85</v>
      </c>
      <c r="F58" s="976">
        <v>0</v>
      </c>
      <c r="G58" s="976">
        <f t="shared" si="8"/>
        <v>0</v>
      </c>
      <c r="H58" s="984">
        <v>1349578</v>
      </c>
      <c r="I58" s="956">
        <v>0</v>
      </c>
      <c r="J58" s="964">
        <f t="shared" si="9"/>
        <v>0</v>
      </c>
    </row>
    <row r="59" spans="1:10" ht="17.25" customHeight="1" x14ac:dyDescent="0.2">
      <c r="A59" s="974">
        <v>4.5</v>
      </c>
      <c r="B59" s="999" t="s">
        <v>1748</v>
      </c>
      <c r="C59" s="978" t="s">
        <v>1730</v>
      </c>
      <c r="D59" s="937" t="s">
        <v>1713</v>
      </c>
      <c r="E59" s="2020">
        <v>28</v>
      </c>
      <c r="F59" s="976">
        <v>0</v>
      </c>
      <c r="G59" s="976">
        <f t="shared" si="8"/>
        <v>0</v>
      </c>
      <c r="H59" s="984">
        <v>1618945</v>
      </c>
      <c r="I59" s="956">
        <v>0</v>
      </c>
      <c r="J59" s="964">
        <f t="shared" si="9"/>
        <v>0</v>
      </c>
    </row>
    <row r="60" spans="1:10" ht="17.25" customHeight="1" x14ac:dyDescent="0.2">
      <c r="A60" s="974">
        <v>4.5999999999999996</v>
      </c>
      <c r="B60" s="998" t="s">
        <v>1749</v>
      </c>
      <c r="C60" s="958" t="s">
        <v>68</v>
      </c>
      <c r="D60" s="937" t="s">
        <v>1713</v>
      </c>
      <c r="E60" s="956">
        <v>14</v>
      </c>
      <c r="F60" s="976">
        <v>0</v>
      </c>
      <c r="G60" s="976">
        <f t="shared" si="8"/>
        <v>0</v>
      </c>
      <c r="H60" s="1000">
        <v>1057642</v>
      </c>
      <c r="I60" s="956">
        <v>0</v>
      </c>
      <c r="J60" s="964">
        <f t="shared" si="9"/>
        <v>0</v>
      </c>
    </row>
    <row r="61" spans="1:10" ht="17.25" customHeight="1" x14ac:dyDescent="0.2">
      <c r="A61" s="974">
        <v>4.7</v>
      </c>
      <c r="B61" s="998" t="s">
        <v>1750</v>
      </c>
      <c r="C61" s="978" t="s">
        <v>1728</v>
      </c>
      <c r="D61" s="937" t="s">
        <v>1713</v>
      </c>
      <c r="E61" s="2020">
        <v>18.600000000000001</v>
      </c>
      <c r="F61" s="976">
        <v>0</v>
      </c>
      <c r="G61" s="976">
        <f t="shared" si="8"/>
        <v>0</v>
      </c>
      <c r="H61" s="1000">
        <v>1208592</v>
      </c>
      <c r="I61" s="956">
        <v>0</v>
      </c>
      <c r="J61" s="964">
        <f t="shared" si="9"/>
        <v>0</v>
      </c>
    </row>
    <row r="62" spans="1:10" ht="17.25" customHeight="1" x14ac:dyDescent="0.2">
      <c r="A62" s="974">
        <v>4.8</v>
      </c>
      <c r="B62" s="998" t="s">
        <v>1751</v>
      </c>
      <c r="C62" s="958" t="s">
        <v>186</v>
      </c>
      <c r="D62" s="937" t="s">
        <v>1713</v>
      </c>
      <c r="E62" s="2020">
        <v>15</v>
      </c>
      <c r="F62" s="976">
        <v>0</v>
      </c>
      <c r="G62" s="976">
        <f t="shared" si="8"/>
        <v>0</v>
      </c>
      <c r="H62" s="941">
        <v>1400467</v>
      </c>
      <c r="I62" s="956">
        <v>0</v>
      </c>
      <c r="J62" s="964">
        <f t="shared" si="9"/>
        <v>0</v>
      </c>
    </row>
    <row r="63" spans="1:10" ht="17.25" customHeight="1" x14ac:dyDescent="0.2">
      <c r="A63" s="927">
        <v>5</v>
      </c>
      <c r="B63" s="969" t="s">
        <v>1752</v>
      </c>
      <c r="C63" s="1001"/>
      <c r="D63" s="989"/>
      <c r="E63" s="990"/>
      <c r="F63" s="990"/>
      <c r="G63" s="990"/>
      <c r="H63" s="972">
        <f>SUM(H64:H74)</f>
        <v>535813</v>
      </c>
      <c r="I63" s="973">
        <f>SUM(I64:I74)</f>
        <v>168172.11</v>
      </c>
      <c r="J63" s="973">
        <f t="shared" si="9"/>
        <v>31.386343743059609</v>
      </c>
    </row>
    <row r="64" spans="1:10" ht="17.25" customHeight="1" x14ac:dyDescent="0.2">
      <c r="A64" s="974">
        <v>5.0999999999999996</v>
      </c>
      <c r="B64" s="985" t="s">
        <v>61</v>
      </c>
      <c r="C64" s="938" t="s">
        <v>37</v>
      </c>
      <c r="D64" s="979" t="s">
        <v>75</v>
      </c>
      <c r="E64" s="1002">
        <v>10</v>
      </c>
      <c r="F64" s="1002">
        <v>2</v>
      </c>
      <c r="G64" s="976">
        <f t="shared" si="8"/>
        <v>20</v>
      </c>
      <c r="H64" s="963">
        <v>18400</v>
      </c>
      <c r="I64" s="963">
        <v>0</v>
      </c>
      <c r="J64" s="964">
        <f t="shared" si="9"/>
        <v>0</v>
      </c>
    </row>
    <row r="65" spans="1:10" ht="17.25" customHeight="1" x14ac:dyDescent="0.2">
      <c r="A65" s="974">
        <v>5.2</v>
      </c>
      <c r="B65" s="985" t="s">
        <v>1753</v>
      </c>
      <c r="C65" s="938" t="s">
        <v>37</v>
      </c>
      <c r="D65" s="1003" t="s">
        <v>180</v>
      </c>
      <c r="E65" s="1002">
        <v>600</v>
      </c>
      <c r="F65" s="1002">
        <v>184</v>
      </c>
      <c r="G65" s="976">
        <f t="shared" si="8"/>
        <v>30.666666666666664</v>
      </c>
      <c r="H65" s="941">
        <v>4000</v>
      </c>
      <c r="I65" s="956">
        <v>340.76</v>
      </c>
      <c r="J65" s="964">
        <f t="shared" si="9"/>
        <v>8.5190000000000001</v>
      </c>
    </row>
    <row r="66" spans="1:10" ht="25.5" customHeight="1" x14ac:dyDescent="0.2">
      <c r="A66" s="974">
        <v>5.3</v>
      </c>
      <c r="B66" s="986" t="s">
        <v>1754</v>
      </c>
      <c r="C66" s="938" t="s">
        <v>37</v>
      </c>
      <c r="D66" s="1003" t="s">
        <v>114</v>
      </c>
      <c r="E66" s="1002">
        <v>2</v>
      </c>
      <c r="F66" s="1002">
        <v>2</v>
      </c>
      <c r="G66" s="976">
        <f t="shared" si="8"/>
        <v>100</v>
      </c>
      <c r="H66" s="941">
        <v>15000</v>
      </c>
      <c r="I66" s="956">
        <v>0</v>
      </c>
      <c r="J66" s="964">
        <f t="shared" si="9"/>
        <v>0</v>
      </c>
    </row>
    <row r="67" spans="1:10" ht="25.5" x14ac:dyDescent="0.2">
      <c r="A67" s="974">
        <v>5.4</v>
      </c>
      <c r="B67" s="986" t="s">
        <v>1755</v>
      </c>
      <c r="C67" s="938" t="s">
        <v>37</v>
      </c>
      <c r="D67" s="979" t="s">
        <v>94</v>
      </c>
      <c r="E67" s="1002">
        <v>2000</v>
      </c>
      <c r="F67" s="1002">
        <v>100</v>
      </c>
      <c r="G67" s="976">
        <f t="shared" si="8"/>
        <v>5</v>
      </c>
      <c r="H67" s="941">
        <v>34625</v>
      </c>
      <c r="I67" s="956">
        <v>14320.7</v>
      </c>
      <c r="J67" s="964">
        <f t="shared" si="9"/>
        <v>41.359422382671482</v>
      </c>
    </row>
    <row r="68" spans="1:10" ht="17.25" customHeight="1" x14ac:dyDescent="0.2">
      <c r="A68" s="974">
        <v>5.5</v>
      </c>
      <c r="B68" s="985" t="s">
        <v>1756</v>
      </c>
      <c r="C68" s="938" t="s">
        <v>37</v>
      </c>
      <c r="D68" s="1003" t="s">
        <v>1757</v>
      </c>
      <c r="E68" s="1002">
        <v>2400</v>
      </c>
      <c r="F68" s="1002">
        <v>764</v>
      </c>
      <c r="G68" s="976">
        <f t="shared" si="8"/>
        <v>31.833333333333336</v>
      </c>
      <c r="H68" s="941">
        <v>105420</v>
      </c>
      <c r="I68" s="956">
        <v>46621.96</v>
      </c>
      <c r="J68" s="964">
        <f t="shared" si="9"/>
        <v>44.224966799468788</v>
      </c>
    </row>
    <row r="69" spans="1:10" ht="17.25" customHeight="1" x14ac:dyDescent="0.2">
      <c r="A69" s="974">
        <v>5.6</v>
      </c>
      <c r="B69" s="985" t="s">
        <v>1758</v>
      </c>
      <c r="C69" s="938" t="s">
        <v>70</v>
      </c>
      <c r="D69" s="1003" t="s">
        <v>1757</v>
      </c>
      <c r="E69" s="1002">
        <v>120</v>
      </c>
      <c r="F69" s="1002">
        <v>8</v>
      </c>
      <c r="G69" s="976">
        <f t="shared" si="8"/>
        <v>6.666666666666667</v>
      </c>
      <c r="H69" s="941">
        <v>4000</v>
      </c>
      <c r="I69" s="956">
        <v>0</v>
      </c>
      <c r="J69" s="964">
        <f t="shared" si="9"/>
        <v>0</v>
      </c>
    </row>
    <row r="70" spans="1:10" ht="25.5" x14ac:dyDescent="0.2">
      <c r="A70" s="974">
        <v>5.7</v>
      </c>
      <c r="B70" s="985" t="s">
        <v>1759</v>
      </c>
      <c r="C70" s="978" t="s">
        <v>37</v>
      </c>
      <c r="D70" s="979" t="s">
        <v>1760</v>
      </c>
      <c r="E70" s="1002">
        <v>23200</v>
      </c>
      <c r="F70" s="1002">
        <v>6649</v>
      </c>
      <c r="G70" s="976">
        <f t="shared" si="8"/>
        <v>28.65948275862069</v>
      </c>
      <c r="H70" s="941">
        <v>264840</v>
      </c>
      <c r="I70" s="956">
        <v>77602</v>
      </c>
      <c r="J70" s="964">
        <f t="shared" si="9"/>
        <v>29.301465035493131</v>
      </c>
    </row>
    <row r="71" spans="1:10" ht="25.5" x14ac:dyDescent="0.2">
      <c r="A71" s="974">
        <v>5.8</v>
      </c>
      <c r="B71" s="985" t="s">
        <v>1761</v>
      </c>
      <c r="C71" s="938" t="s">
        <v>70</v>
      </c>
      <c r="D71" s="979" t="s">
        <v>1760</v>
      </c>
      <c r="E71" s="1002">
        <v>4000</v>
      </c>
      <c r="F71" s="1002">
        <v>1353</v>
      </c>
      <c r="G71" s="976">
        <f t="shared" si="8"/>
        <v>33.825000000000003</v>
      </c>
      <c r="H71" s="941">
        <v>11000</v>
      </c>
      <c r="I71" s="956">
        <v>0</v>
      </c>
      <c r="J71" s="964">
        <f t="shared" si="9"/>
        <v>0</v>
      </c>
    </row>
    <row r="72" spans="1:10" ht="26.25" customHeight="1" x14ac:dyDescent="0.2">
      <c r="A72" s="974">
        <v>5.9</v>
      </c>
      <c r="B72" s="986" t="s">
        <v>1762</v>
      </c>
      <c r="C72" s="978" t="s">
        <v>37</v>
      </c>
      <c r="D72" s="1003" t="s">
        <v>734</v>
      </c>
      <c r="E72" s="1002">
        <v>4700</v>
      </c>
      <c r="F72" s="1002">
        <v>480</v>
      </c>
      <c r="G72" s="976">
        <f t="shared" si="8"/>
        <v>10.212765957446807</v>
      </c>
      <c r="H72" s="941">
        <v>51728</v>
      </c>
      <c r="I72" s="956">
        <v>9286.69</v>
      </c>
      <c r="J72" s="964">
        <f t="shared" si="9"/>
        <v>17.952926848128676</v>
      </c>
    </row>
    <row r="73" spans="1:10" ht="25.5" customHeight="1" x14ac:dyDescent="0.2">
      <c r="A73" s="980">
        <v>5.0999999999999996</v>
      </c>
      <c r="B73" s="986" t="s">
        <v>1763</v>
      </c>
      <c r="C73" s="938" t="s">
        <v>70</v>
      </c>
      <c r="D73" s="1003" t="s">
        <v>734</v>
      </c>
      <c r="E73" s="1002">
        <v>200</v>
      </c>
      <c r="F73" s="1002">
        <v>15</v>
      </c>
      <c r="G73" s="976">
        <f t="shared" si="8"/>
        <v>7.5</v>
      </c>
      <c r="H73" s="941">
        <v>24000</v>
      </c>
      <c r="I73" s="956">
        <v>20000</v>
      </c>
      <c r="J73" s="964">
        <f t="shared" si="9"/>
        <v>83.333333333333343</v>
      </c>
    </row>
    <row r="74" spans="1:10" ht="19.5" customHeight="1" x14ac:dyDescent="0.2">
      <c r="A74" s="980">
        <v>5.1100000000000003</v>
      </c>
      <c r="B74" s="986" t="s">
        <v>1764</v>
      </c>
      <c r="C74" s="978" t="s">
        <v>37</v>
      </c>
      <c r="D74" s="1003" t="s">
        <v>337</v>
      </c>
      <c r="E74" s="1002">
        <v>2</v>
      </c>
      <c r="F74" s="1002">
        <v>0</v>
      </c>
      <c r="G74" s="976">
        <f t="shared" si="8"/>
        <v>0</v>
      </c>
      <c r="H74" s="963">
        <v>2800</v>
      </c>
      <c r="I74" s="963">
        <v>0</v>
      </c>
      <c r="J74" s="964">
        <f t="shared" si="9"/>
        <v>0</v>
      </c>
    </row>
    <row r="75" spans="1:10" ht="17.25" customHeight="1" x14ac:dyDescent="0.2">
      <c r="A75" s="927">
        <v>6</v>
      </c>
      <c r="B75" s="969" t="s">
        <v>365</v>
      </c>
      <c r="C75" s="1004"/>
      <c r="D75" s="1005"/>
      <c r="E75" s="1006"/>
      <c r="F75" s="1006"/>
      <c r="G75" s="1006"/>
      <c r="H75" s="972">
        <f>SUM(H76:H83)</f>
        <v>6411770</v>
      </c>
      <c r="I75" s="973">
        <f>SUM(I76:I83)</f>
        <v>2770371.7199999997</v>
      </c>
      <c r="J75" s="973">
        <f t="shared" si="9"/>
        <v>43.207596654277985</v>
      </c>
    </row>
    <row r="76" spans="1:10" ht="17.25" customHeight="1" x14ac:dyDescent="0.2">
      <c r="A76" s="974">
        <v>6.1</v>
      </c>
      <c r="B76" s="985" t="s">
        <v>1765</v>
      </c>
      <c r="C76" s="978" t="s">
        <v>37</v>
      </c>
      <c r="D76" s="1003" t="s">
        <v>41</v>
      </c>
      <c r="E76" s="1002">
        <v>600</v>
      </c>
      <c r="F76" s="1002">
        <v>300</v>
      </c>
      <c r="G76" s="976">
        <f t="shared" si="8"/>
        <v>50</v>
      </c>
      <c r="H76" s="941">
        <f>4497569-572815</f>
        <v>3924754</v>
      </c>
      <c r="I76" s="956">
        <f>1885977.94-205240</f>
        <v>1680737.94</v>
      </c>
      <c r="J76" s="964">
        <f>I76/H76*100</f>
        <v>42.824032792883322</v>
      </c>
    </row>
    <row r="77" spans="1:10" ht="17.25" customHeight="1" x14ac:dyDescent="0.2">
      <c r="A77" s="1007"/>
      <c r="B77" s="1008" t="s">
        <v>1766</v>
      </c>
      <c r="C77" s="1009" t="s">
        <v>37</v>
      </c>
      <c r="D77" s="1010" t="s">
        <v>151</v>
      </c>
      <c r="E77" s="1011">
        <v>16</v>
      </c>
      <c r="F77" s="1011">
        <v>16</v>
      </c>
      <c r="G77" s="976">
        <f t="shared" si="8"/>
        <v>100</v>
      </c>
      <c r="H77" s="1012">
        <v>468140</v>
      </c>
      <c r="I77" s="964">
        <v>155305.66</v>
      </c>
      <c r="J77" s="964">
        <f t="shared" si="9"/>
        <v>33.175045926432269</v>
      </c>
    </row>
    <row r="78" spans="1:10" ht="17.25" customHeight="1" x14ac:dyDescent="0.2">
      <c r="A78" s="1007"/>
      <c r="B78" s="1008" t="s">
        <v>1767</v>
      </c>
      <c r="C78" s="1009" t="s">
        <v>37</v>
      </c>
      <c r="D78" s="1010" t="s">
        <v>526</v>
      </c>
      <c r="E78" s="1011">
        <v>2</v>
      </c>
      <c r="F78" s="1011">
        <v>1</v>
      </c>
      <c r="G78" s="976">
        <f t="shared" si="8"/>
        <v>50</v>
      </c>
      <c r="H78" s="1012">
        <v>48428</v>
      </c>
      <c r="I78" s="964">
        <v>18308.400000000001</v>
      </c>
      <c r="J78" s="964">
        <f t="shared" si="9"/>
        <v>37.80540183364996</v>
      </c>
    </row>
    <row r="79" spans="1:10" ht="17.25" customHeight="1" x14ac:dyDescent="0.2">
      <c r="A79" s="1007"/>
      <c r="B79" s="1008" t="s">
        <v>1768</v>
      </c>
      <c r="C79" s="1009" t="s">
        <v>37</v>
      </c>
      <c r="D79" s="1010" t="s">
        <v>1769</v>
      </c>
      <c r="E79" s="1011">
        <v>1</v>
      </c>
      <c r="F79" s="1011">
        <v>1</v>
      </c>
      <c r="G79" s="976">
        <f t="shared" si="8"/>
        <v>100</v>
      </c>
      <c r="H79" s="1012">
        <v>25236</v>
      </c>
      <c r="I79" s="964">
        <v>22308.69</v>
      </c>
      <c r="J79" s="964">
        <f t="shared" si="9"/>
        <v>88.400261531145972</v>
      </c>
    </row>
    <row r="80" spans="1:10" ht="17.25" customHeight="1" x14ac:dyDescent="0.2">
      <c r="A80" s="1007"/>
      <c r="B80" s="1008" t="s">
        <v>1770</v>
      </c>
      <c r="C80" s="1009" t="s">
        <v>37</v>
      </c>
      <c r="D80" s="1010" t="s">
        <v>1771</v>
      </c>
      <c r="E80" s="1011">
        <v>12</v>
      </c>
      <c r="F80" s="1011">
        <v>6</v>
      </c>
      <c r="G80" s="976">
        <f t="shared" si="8"/>
        <v>50</v>
      </c>
      <c r="H80" s="1012">
        <v>31011</v>
      </c>
      <c r="I80" s="964">
        <v>9317.42</v>
      </c>
      <c r="J80" s="964">
        <f t="shared" si="9"/>
        <v>30.045532230498857</v>
      </c>
    </row>
    <row r="81" spans="1:10" ht="17.25" customHeight="1" x14ac:dyDescent="0.2">
      <c r="A81" s="974">
        <v>6.2</v>
      </c>
      <c r="B81" s="985" t="s">
        <v>1772</v>
      </c>
      <c r="C81" s="978" t="s">
        <v>68</v>
      </c>
      <c r="D81" s="1003" t="s">
        <v>41</v>
      </c>
      <c r="E81" s="1002">
        <v>300</v>
      </c>
      <c r="F81" s="1002">
        <v>150</v>
      </c>
      <c r="G81" s="976">
        <f t="shared" si="8"/>
        <v>50</v>
      </c>
      <c r="H81" s="941">
        <v>466258</v>
      </c>
      <c r="I81" s="956">
        <v>221196.34</v>
      </c>
      <c r="J81" s="964">
        <f>I81/H81*100</f>
        <v>47.440760265775602</v>
      </c>
    </row>
    <row r="82" spans="1:10" ht="17.25" customHeight="1" x14ac:dyDescent="0.2">
      <c r="A82" s="974">
        <v>6.3</v>
      </c>
      <c r="B82" s="985" t="s">
        <v>1773</v>
      </c>
      <c r="C82" s="978" t="s">
        <v>70</v>
      </c>
      <c r="D82" s="1003" t="s">
        <v>41</v>
      </c>
      <c r="E82" s="1002">
        <v>300</v>
      </c>
      <c r="F82" s="1002">
        <v>150</v>
      </c>
      <c r="G82" s="976">
        <f t="shared" si="8"/>
        <v>50</v>
      </c>
      <c r="H82" s="941">
        <v>635813</v>
      </c>
      <c r="I82" s="956">
        <v>272725.59000000003</v>
      </c>
      <c r="J82" s="964">
        <f>I82/H82*100</f>
        <v>42.893993988798599</v>
      </c>
    </row>
    <row r="83" spans="1:10" ht="17.25" customHeight="1" x14ac:dyDescent="0.2">
      <c r="A83" s="974">
        <v>6.4</v>
      </c>
      <c r="B83" s="985" t="s">
        <v>1774</v>
      </c>
      <c r="C83" s="978" t="s">
        <v>37</v>
      </c>
      <c r="D83" s="1003" t="s">
        <v>55</v>
      </c>
      <c r="E83" s="1002">
        <v>12</v>
      </c>
      <c r="F83" s="1002">
        <v>6</v>
      </c>
      <c r="G83" s="976">
        <f>F83/E83*100</f>
        <v>50</v>
      </c>
      <c r="H83" s="941">
        <v>812130</v>
      </c>
      <c r="I83" s="956">
        <v>390471.67999999999</v>
      </c>
      <c r="J83" s="964">
        <f>I83/H83*100</f>
        <v>48.079947791609719</v>
      </c>
    </row>
    <row r="84" spans="1:10" ht="17.25" customHeight="1" x14ac:dyDescent="0.2">
      <c r="A84" s="927">
        <v>7</v>
      </c>
      <c r="B84" s="969" t="s">
        <v>1775</v>
      </c>
      <c r="C84" s="2022"/>
      <c r="D84" s="2022"/>
      <c r="E84" s="2003"/>
      <c r="F84" s="2003"/>
      <c r="G84" s="2003"/>
      <c r="H84" s="972">
        <f>SUM(H85:H86)</f>
        <v>1471015</v>
      </c>
      <c r="I84" s="973">
        <f>SUM(I85:I86)</f>
        <v>366000.14</v>
      </c>
      <c r="J84" s="973">
        <f t="shared" ref="J84" si="10">I84/H84*100</f>
        <v>24.880789114998827</v>
      </c>
    </row>
    <row r="85" spans="1:10" ht="17.25" customHeight="1" x14ac:dyDescent="0.2">
      <c r="A85" s="974">
        <v>7.1</v>
      </c>
      <c r="B85" s="985" t="s">
        <v>1776</v>
      </c>
      <c r="C85" s="978" t="s">
        <v>37</v>
      </c>
      <c r="D85" s="1013" t="s">
        <v>1777</v>
      </c>
      <c r="E85" s="1014">
        <v>248</v>
      </c>
      <c r="F85" s="1014">
        <v>85</v>
      </c>
      <c r="G85" s="976">
        <f>F85/E85*100</f>
        <v>34.274193548387096</v>
      </c>
      <c r="H85" s="941">
        <v>1165051</v>
      </c>
      <c r="I85" s="956">
        <v>310195.21000000002</v>
      </c>
      <c r="J85" s="964">
        <f>I85/H85*100</f>
        <v>26.625032723889341</v>
      </c>
    </row>
    <row r="86" spans="1:10" ht="17.25" customHeight="1" x14ac:dyDescent="0.2">
      <c r="A86" s="974">
        <v>7.2</v>
      </c>
      <c r="B86" s="985" t="s">
        <v>1778</v>
      </c>
      <c r="C86" s="978" t="s">
        <v>37</v>
      </c>
      <c r="D86" s="1003" t="s">
        <v>55</v>
      </c>
      <c r="E86" s="1002">
        <v>12</v>
      </c>
      <c r="F86" s="1002">
        <v>6</v>
      </c>
      <c r="G86" s="976">
        <f t="shared" si="8"/>
        <v>50</v>
      </c>
      <c r="H86" s="941">
        <v>305964</v>
      </c>
      <c r="I86" s="956">
        <v>55804.93</v>
      </c>
      <c r="J86" s="964">
        <f>I86/H86*100</f>
        <v>18.239050999463991</v>
      </c>
    </row>
    <row r="87" spans="1:10" ht="17.25" customHeight="1" x14ac:dyDescent="0.2">
      <c r="A87" s="927">
        <v>8</v>
      </c>
      <c r="B87" s="969" t="s">
        <v>1779</v>
      </c>
      <c r="C87" s="1004"/>
      <c r="D87" s="1005"/>
      <c r="E87" s="1015"/>
      <c r="F87" s="1015"/>
      <c r="G87" s="1015"/>
      <c r="H87" s="972">
        <f>+H88</f>
        <v>3157373</v>
      </c>
      <c r="I87" s="973">
        <f>+I88</f>
        <v>386444.76</v>
      </c>
      <c r="J87" s="973">
        <f t="shared" ref="J87" si="11">I87/H87*100</f>
        <v>12.239439559405874</v>
      </c>
    </row>
    <row r="88" spans="1:10" ht="25.5" customHeight="1" x14ac:dyDescent="0.2">
      <c r="A88" s="974">
        <v>8.1</v>
      </c>
      <c r="B88" s="986" t="s">
        <v>1780</v>
      </c>
      <c r="C88" s="978" t="s">
        <v>37</v>
      </c>
      <c r="D88" s="1003" t="s">
        <v>1713</v>
      </c>
      <c r="E88" s="976">
        <v>3.6</v>
      </c>
      <c r="F88" s="976">
        <v>1.36</v>
      </c>
      <c r="G88" s="976">
        <f>F88/E88*100</f>
        <v>37.777777777777779</v>
      </c>
      <c r="H88" s="941">
        <v>3157373</v>
      </c>
      <c r="I88" s="956">
        <v>386444.76</v>
      </c>
      <c r="J88" s="964">
        <f>I88/H88*100</f>
        <v>12.239439559405874</v>
      </c>
    </row>
  </sheetData>
  <mergeCells count="12">
    <mergeCell ref="A18:B18"/>
    <mergeCell ref="A20:B20"/>
    <mergeCell ref="A4:J4"/>
    <mergeCell ref="C8:G8"/>
    <mergeCell ref="A2:B2"/>
    <mergeCell ref="A6:A7"/>
    <mergeCell ref="B6:B7"/>
    <mergeCell ref="C6:C7"/>
    <mergeCell ref="A3:J3"/>
    <mergeCell ref="D6:G6"/>
    <mergeCell ref="H6:J6"/>
    <mergeCell ref="A5:J5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87"/>
  <sheetViews>
    <sheetView view="pageBreakPreview" topLeftCell="A70" zoomScaleNormal="100" zoomScaleSheetLayoutView="100" workbookViewId="0">
      <selection activeCell="H24" sqref="H24"/>
    </sheetView>
  </sheetViews>
  <sheetFormatPr baseColWidth="10" defaultRowHeight="12.75" x14ac:dyDescent="0.2"/>
  <cols>
    <col min="1" max="1" width="4.5703125" style="4" customWidth="1"/>
    <col min="2" max="2" width="65.42578125" style="2" customWidth="1"/>
    <col min="3" max="3" width="19.85546875" style="5" hidden="1" customWidth="1"/>
    <col min="4" max="4" width="16.42578125" style="6" customWidth="1"/>
    <col min="5" max="5" width="16.28515625" style="40" customWidth="1"/>
    <col min="6" max="6" width="13" style="2" customWidth="1"/>
    <col min="7" max="7" width="10.5703125" style="2" customWidth="1"/>
    <col min="8" max="8" width="12.5703125" style="2" bestFit="1" customWidth="1"/>
    <col min="9" max="9" width="12.7109375" style="2" bestFit="1" customWidth="1"/>
    <col min="10" max="10" width="11.5703125" style="2" bestFit="1" customWidth="1"/>
    <col min="11" max="16384" width="11.42578125" style="2"/>
  </cols>
  <sheetData>
    <row r="2" spans="1:10" ht="18" customHeight="1" x14ac:dyDescent="0.2">
      <c r="A2" s="2447" t="s">
        <v>22</v>
      </c>
      <c r="B2" s="2448"/>
      <c r="C2" s="581"/>
      <c r="D2" s="1627"/>
      <c r="E2" s="582"/>
      <c r="F2" s="588"/>
      <c r="G2" s="583"/>
      <c r="H2" s="583"/>
      <c r="I2" s="584"/>
      <c r="J2" s="585"/>
    </row>
    <row r="3" spans="1:10" ht="27" customHeight="1" x14ac:dyDescent="0.2">
      <c r="A3" s="2429" t="s">
        <v>1145</v>
      </c>
      <c r="B3" s="2326"/>
      <c r="C3" s="2326"/>
      <c r="D3" s="2326"/>
      <c r="E3" s="2326"/>
      <c r="F3" s="2326"/>
      <c r="G3" s="2326"/>
      <c r="H3" s="2326"/>
      <c r="I3" s="2326"/>
      <c r="J3" s="2327"/>
    </row>
    <row r="4" spans="1:10" x14ac:dyDescent="0.2">
      <c r="A4" s="2366" t="s">
        <v>6</v>
      </c>
      <c r="B4" s="2337"/>
      <c r="C4" s="2337"/>
      <c r="D4" s="2337"/>
      <c r="E4" s="2337"/>
      <c r="F4" s="2337"/>
      <c r="G4" s="2337"/>
      <c r="H4" s="2337"/>
      <c r="I4" s="2337"/>
      <c r="J4" s="2338"/>
    </row>
    <row r="5" spans="1:10" ht="18" customHeight="1" x14ac:dyDescent="0.2">
      <c r="A5" s="2339" t="s">
        <v>15</v>
      </c>
      <c r="B5" s="2340"/>
      <c r="C5" s="2340"/>
      <c r="D5" s="2340"/>
      <c r="E5" s="2340"/>
      <c r="F5" s="2340"/>
      <c r="G5" s="2340"/>
      <c r="H5" s="2340"/>
      <c r="I5" s="2340"/>
      <c r="J5" s="2341"/>
    </row>
    <row r="6" spans="1:10" ht="18" customHeight="1" x14ac:dyDescent="0.2">
      <c r="A6" s="2449" t="s">
        <v>0</v>
      </c>
      <c r="B6" s="2449" t="s">
        <v>1</v>
      </c>
      <c r="C6" s="2449" t="s">
        <v>2</v>
      </c>
      <c r="D6" s="2443" t="s">
        <v>1781</v>
      </c>
      <c r="E6" s="2443"/>
      <c r="F6" s="2443"/>
      <c r="G6" s="2443"/>
      <c r="H6" s="2443" t="s">
        <v>774</v>
      </c>
      <c r="I6" s="2443"/>
      <c r="J6" s="2443"/>
    </row>
    <row r="7" spans="1:10" ht="18" customHeight="1" x14ac:dyDescent="0.2">
      <c r="A7" s="2449"/>
      <c r="B7" s="2449"/>
      <c r="C7" s="2449"/>
      <c r="D7" s="1628" t="s">
        <v>3</v>
      </c>
      <c r="E7" s="1628" t="s">
        <v>4</v>
      </c>
      <c r="F7" s="1628" t="s">
        <v>747</v>
      </c>
      <c r="G7" s="1628" t="s">
        <v>746</v>
      </c>
      <c r="H7" s="580" t="s">
        <v>748</v>
      </c>
      <c r="I7" s="1628" t="s">
        <v>747</v>
      </c>
      <c r="J7" s="1628" t="s">
        <v>746</v>
      </c>
    </row>
    <row r="8" spans="1:10" ht="15" customHeight="1" x14ac:dyDescent="0.2">
      <c r="A8" s="586"/>
      <c r="B8" s="1994"/>
      <c r="C8" s="2444" t="s">
        <v>1807</v>
      </c>
      <c r="D8" s="2445"/>
      <c r="E8" s="2445"/>
      <c r="F8" s="2445"/>
      <c r="G8" s="2446"/>
      <c r="H8" s="577">
        <f>+H9+H27+H29+H33+H36</f>
        <v>15795402</v>
      </c>
      <c r="I8" s="578">
        <f>+I9+I27+I29+I33+I36</f>
        <v>6462701.7199999997</v>
      </c>
      <c r="J8" s="576">
        <f t="shared" ref="J8" si="0">+I8/H8*100</f>
        <v>40.915082249885124</v>
      </c>
    </row>
    <row r="9" spans="1:10" ht="18.75" customHeight="1" x14ac:dyDescent="0.2">
      <c r="A9" s="589" t="s">
        <v>2762</v>
      </c>
      <c r="B9" s="1671"/>
      <c r="C9" s="1672"/>
      <c r="D9" s="1672"/>
      <c r="E9" s="1672"/>
      <c r="F9" s="1672"/>
      <c r="G9" s="1672"/>
      <c r="H9" s="590">
        <f>+H10+H24</f>
        <v>6415729</v>
      </c>
      <c r="I9" s="591">
        <f>+I10+I24</f>
        <v>4957573.17</v>
      </c>
      <c r="J9" s="1665">
        <f>+I9/H9*100</f>
        <v>77.272172343937839</v>
      </c>
    </row>
    <row r="10" spans="1:10" ht="18" customHeight="1" x14ac:dyDescent="0.2">
      <c r="A10" s="1661"/>
      <c r="B10" s="1663" t="s">
        <v>2763</v>
      </c>
      <c r="C10" s="1662"/>
      <c r="D10" s="1672"/>
      <c r="E10" s="1672"/>
      <c r="F10" s="1672"/>
      <c r="G10" s="1672"/>
      <c r="H10" s="1666">
        <f>SUM(H11:H23)</f>
        <v>428655</v>
      </c>
      <c r="I10" s="1667">
        <f>SUM(I11:I23)</f>
        <v>63742.89</v>
      </c>
      <c r="J10" s="1665">
        <f>+I10/H10*100</f>
        <v>14.870441263953529</v>
      </c>
    </row>
    <row r="11" spans="1:10" ht="38.25" x14ac:dyDescent="0.2">
      <c r="A11" s="595">
        <v>1</v>
      </c>
      <c r="B11" s="593" t="s">
        <v>1789</v>
      </c>
      <c r="C11" s="574" t="s">
        <v>1782</v>
      </c>
      <c r="D11" s="594" t="s">
        <v>1790</v>
      </c>
      <c r="E11" s="1631">
        <v>1</v>
      </c>
      <c r="F11" s="1631">
        <v>1</v>
      </c>
      <c r="G11" s="1629">
        <f>+F11/E11*100</f>
        <v>100</v>
      </c>
      <c r="H11" s="572">
        <v>13618</v>
      </c>
      <c r="I11" s="602">
        <v>321.64</v>
      </c>
      <c r="J11" s="1629">
        <f>+I11/H11*100</f>
        <v>2.3618739903069468</v>
      </c>
    </row>
    <row r="12" spans="1:10" ht="42" customHeight="1" x14ac:dyDescent="0.2">
      <c r="A12" s="596">
        <v>2</v>
      </c>
      <c r="B12" s="1630" t="s">
        <v>2744</v>
      </c>
      <c r="C12" s="574" t="e">
        <f>Minus</f>
        <v>#NAME?</v>
      </c>
      <c r="D12" s="594" t="s">
        <v>1790</v>
      </c>
      <c r="E12" s="1631">
        <v>1</v>
      </c>
      <c r="F12" s="1631">
        <v>1</v>
      </c>
      <c r="G12" s="1629">
        <f t="shared" ref="G12:G23" si="1">+F12/E12*100</f>
        <v>100</v>
      </c>
      <c r="H12" s="572">
        <v>13320</v>
      </c>
      <c r="I12" s="569">
        <v>0</v>
      </c>
      <c r="J12" s="1629">
        <f t="shared" ref="J12:J22" si="2">+I12/H12*100</f>
        <v>0</v>
      </c>
    </row>
    <row r="13" spans="1:10" s="34" customFormat="1" ht="25.5" x14ac:dyDescent="0.25">
      <c r="A13" s="596">
        <v>3</v>
      </c>
      <c r="B13" s="1630" t="s">
        <v>1797</v>
      </c>
      <c r="C13" s="574" t="s">
        <v>1783</v>
      </c>
      <c r="D13" s="594" t="s">
        <v>1791</v>
      </c>
      <c r="E13" s="1631">
        <v>2</v>
      </c>
      <c r="F13" s="1631">
        <v>0.2</v>
      </c>
      <c r="G13" s="1629">
        <f t="shared" si="1"/>
        <v>10</v>
      </c>
      <c r="H13" s="572">
        <v>36300</v>
      </c>
      <c r="I13" s="569">
        <v>0</v>
      </c>
      <c r="J13" s="1629">
        <f t="shared" si="2"/>
        <v>0</v>
      </c>
    </row>
    <row r="14" spans="1:10" ht="25.5" x14ac:dyDescent="0.2">
      <c r="A14" s="596">
        <v>4</v>
      </c>
      <c r="B14" s="1630" t="s">
        <v>1796</v>
      </c>
      <c r="C14" s="574" t="s">
        <v>1784</v>
      </c>
      <c r="D14" s="594" t="s">
        <v>1792</v>
      </c>
      <c r="E14" s="1631">
        <v>1408</v>
      </c>
      <c r="F14" s="1631">
        <v>340</v>
      </c>
      <c r="G14" s="1629">
        <f t="shared" si="1"/>
        <v>24.147727272727273</v>
      </c>
      <c r="H14" s="572">
        <v>194118</v>
      </c>
      <c r="I14" s="602">
        <v>48293.54</v>
      </c>
      <c r="J14" s="1629">
        <f t="shared" si="2"/>
        <v>24.878445069493811</v>
      </c>
    </row>
    <row r="15" spans="1:10" ht="28.5" customHeight="1" x14ac:dyDescent="0.2">
      <c r="A15" s="596">
        <v>5</v>
      </c>
      <c r="B15" s="1630" t="s">
        <v>2747</v>
      </c>
      <c r="C15" s="574" t="s">
        <v>1785</v>
      </c>
      <c r="D15" s="594" t="s">
        <v>1793</v>
      </c>
      <c r="E15" s="1631">
        <v>1</v>
      </c>
      <c r="F15" s="1631">
        <v>0.8</v>
      </c>
      <c r="G15" s="1629">
        <f t="shared" si="1"/>
        <v>80</v>
      </c>
      <c r="H15" s="572">
        <v>4300</v>
      </c>
      <c r="I15" s="569">
        <v>0</v>
      </c>
      <c r="J15" s="1629">
        <f t="shared" si="2"/>
        <v>0</v>
      </c>
    </row>
    <row r="16" spans="1:10" ht="27" customHeight="1" x14ac:dyDescent="0.2">
      <c r="A16" s="596">
        <v>6</v>
      </c>
      <c r="B16" s="1630" t="s">
        <v>1795</v>
      </c>
      <c r="C16" s="574" t="s">
        <v>1680</v>
      </c>
      <c r="D16" s="594" t="s">
        <v>1794</v>
      </c>
      <c r="E16" s="1631">
        <v>1</v>
      </c>
      <c r="F16" s="1631">
        <v>1</v>
      </c>
      <c r="G16" s="1629">
        <f t="shared" si="1"/>
        <v>100</v>
      </c>
      <c r="H16" s="572">
        <v>28423</v>
      </c>
      <c r="I16" s="602">
        <v>12500</v>
      </c>
      <c r="J16" s="1629">
        <f t="shared" si="2"/>
        <v>43.978468141997681</v>
      </c>
    </row>
    <row r="17" spans="1:13" ht="25.5" x14ac:dyDescent="0.2">
      <c r="A17" s="596">
        <v>7</v>
      </c>
      <c r="B17" s="1630" t="s">
        <v>2746</v>
      </c>
      <c r="C17" s="574" t="s">
        <v>1786</v>
      </c>
      <c r="D17" s="594" t="s">
        <v>414</v>
      </c>
      <c r="E17" s="1631">
        <v>1</v>
      </c>
      <c r="F17" s="597">
        <v>0.2</v>
      </c>
      <c r="G17" s="1629">
        <f t="shared" si="1"/>
        <v>20</v>
      </c>
      <c r="H17" s="572">
        <v>32000</v>
      </c>
      <c r="I17" s="602">
        <v>840</v>
      </c>
      <c r="J17" s="1629">
        <f t="shared" si="2"/>
        <v>2.625</v>
      </c>
    </row>
    <row r="18" spans="1:13" ht="25.5" x14ac:dyDescent="0.2">
      <c r="A18" s="596">
        <v>8</v>
      </c>
      <c r="B18" s="598" t="s">
        <v>2745</v>
      </c>
      <c r="C18" s="574" t="s">
        <v>1786</v>
      </c>
      <c r="D18" s="594" t="s">
        <v>414</v>
      </c>
      <c r="E18" s="1631">
        <v>1</v>
      </c>
      <c r="F18" s="597">
        <v>0.2</v>
      </c>
      <c r="G18" s="1629">
        <f t="shared" si="1"/>
        <v>20</v>
      </c>
      <c r="H18" s="572">
        <v>2000</v>
      </c>
      <c r="I18" s="569">
        <v>0</v>
      </c>
      <c r="J18" s="1629">
        <f t="shared" si="2"/>
        <v>0</v>
      </c>
    </row>
    <row r="19" spans="1:13" ht="25.5" x14ac:dyDescent="0.2">
      <c r="A19" s="596">
        <v>9</v>
      </c>
      <c r="B19" s="598" t="s">
        <v>2748</v>
      </c>
      <c r="C19" s="574" t="s">
        <v>1787</v>
      </c>
      <c r="D19" s="594" t="s">
        <v>414</v>
      </c>
      <c r="E19" s="1631">
        <v>1</v>
      </c>
      <c r="F19" s="597">
        <v>0.3</v>
      </c>
      <c r="G19" s="1629">
        <f t="shared" si="1"/>
        <v>30</v>
      </c>
      <c r="H19" s="572">
        <v>6200</v>
      </c>
      <c r="I19" s="569">
        <v>1787.71</v>
      </c>
      <c r="J19" s="1629">
        <f t="shared" si="2"/>
        <v>28.834032258064518</v>
      </c>
    </row>
    <row r="20" spans="1:13" ht="27.75" customHeight="1" x14ac:dyDescent="0.2">
      <c r="A20" s="596">
        <v>10</v>
      </c>
      <c r="B20" s="598" t="s">
        <v>1798</v>
      </c>
      <c r="C20" s="574" t="s">
        <v>1783</v>
      </c>
      <c r="D20" s="594" t="s">
        <v>414</v>
      </c>
      <c r="E20" s="1631">
        <v>1</v>
      </c>
      <c r="F20" s="597">
        <v>0.3</v>
      </c>
      <c r="G20" s="1629">
        <f t="shared" si="1"/>
        <v>30</v>
      </c>
      <c r="H20" s="572">
        <v>76660</v>
      </c>
      <c r="I20" s="569">
        <v>0</v>
      </c>
      <c r="J20" s="1629">
        <f t="shared" si="2"/>
        <v>0</v>
      </c>
    </row>
    <row r="21" spans="1:13" ht="25.5" x14ac:dyDescent="0.2">
      <c r="A21" s="596">
        <v>11</v>
      </c>
      <c r="B21" s="598" t="s">
        <v>2749</v>
      </c>
      <c r="C21" s="574" t="s">
        <v>1783</v>
      </c>
      <c r="D21" s="594" t="s">
        <v>414</v>
      </c>
      <c r="E21" s="1631">
        <v>1</v>
      </c>
      <c r="F21" s="1631">
        <v>0.2</v>
      </c>
      <c r="G21" s="1629">
        <f t="shared" si="1"/>
        <v>20</v>
      </c>
      <c r="H21" s="572">
        <v>1200</v>
      </c>
      <c r="I21" s="569">
        <v>0</v>
      </c>
      <c r="J21" s="1629">
        <f t="shared" si="2"/>
        <v>0</v>
      </c>
    </row>
    <row r="22" spans="1:13" ht="25.5" x14ac:dyDescent="0.2">
      <c r="A22" s="596">
        <v>12</v>
      </c>
      <c r="B22" s="598" t="s">
        <v>1799</v>
      </c>
      <c r="C22" s="574" t="s">
        <v>1783</v>
      </c>
      <c r="D22" s="594" t="s">
        <v>414</v>
      </c>
      <c r="E22" s="1631">
        <v>1</v>
      </c>
      <c r="F22" s="1631">
        <v>0.2</v>
      </c>
      <c r="G22" s="1629">
        <f t="shared" si="1"/>
        <v>20</v>
      </c>
      <c r="H22" s="572">
        <v>6396</v>
      </c>
      <c r="I22" s="569">
        <v>0</v>
      </c>
      <c r="J22" s="1629">
        <f t="shared" si="2"/>
        <v>0</v>
      </c>
    </row>
    <row r="23" spans="1:13" ht="25.5" x14ac:dyDescent="0.2">
      <c r="A23" s="599">
        <v>13</v>
      </c>
      <c r="B23" s="600" t="s">
        <v>1800</v>
      </c>
      <c r="C23" s="601" t="s">
        <v>1788</v>
      </c>
      <c r="D23" s="594" t="s">
        <v>414</v>
      </c>
      <c r="E23" s="1631">
        <v>1</v>
      </c>
      <c r="F23" s="1631">
        <v>0</v>
      </c>
      <c r="G23" s="1632">
        <f t="shared" si="1"/>
        <v>0</v>
      </c>
      <c r="H23" s="603">
        <v>14120</v>
      </c>
      <c r="I23" s="569">
        <v>0</v>
      </c>
      <c r="J23" s="1632">
        <v>0</v>
      </c>
    </row>
    <row r="24" spans="1:13" ht="21.75" customHeight="1" x14ac:dyDescent="0.2">
      <c r="A24" s="1653"/>
      <c r="B24" s="1663" t="s">
        <v>2766</v>
      </c>
      <c r="C24" s="1654"/>
      <c r="D24" s="1655"/>
      <c r="E24" s="1656"/>
      <c r="F24" s="1656"/>
      <c r="G24" s="1657"/>
      <c r="H24" s="1664">
        <f>SUM(H25:H26)</f>
        <v>5987074</v>
      </c>
      <c r="I24" s="1664">
        <f>SUM(I25:I26)</f>
        <v>4893830.28</v>
      </c>
      <c r="J24" s="1670">
        <f>+I24/H24*100</f>
        <v>81.739933062460906</v>
      </c>
    </row>
    <row r="25" spans="1:13" ht="25.5" customHeight="1" x14ac:dyDescent="0.2">
      <c r="A25" s="1653">
        <v>1</v>
      </c>
      <c r="B25" s="1658" t="s">
        <v>2764</v>
      </c>
      <c r="C25" s="1659" t="s">
        <v>187</v>
      </c>
      <c r="D25" s="1659" t="s">
        <v>2760</v>
      </c>
      <c r="E25" s="1656">
        <v>1</v>
      </c>
      <c r="F25" s="1657">
        <v>0.83</v>
      </c>
      <c r="G25" s="1660">
        <f t="shared" ref="G25:G26" si="3">+F25/E25*100</f>
        <v>83</v>
      </c>
      <c r="H25" s="1656">
        <v>384249</v>
      </c>
      <c r="I25" s="1657">
        <v>357026.7</v>
      </c>
      <c r="J25" s="1660">
        <f t="shared" ref="J25:J26" si="4">+I25/H25*100</f>
        <v>92.915453260776218</v>
      </c>
    </row>
    <row r="26" spans="1:13" ht="49.5" customHeight="1" x14ac:dyDescent="0.2">
      <c r="A26" s="1653">
        <v>2</v>
      </c>
      <c r="B26" s="1658" t="s">
        <v>2765</v>
      </c>
      <c r="C26" s="1659" t="s">
        <v>720</v>
      </c>
      <c r="D26" s="1659" t="s">
        <v>2761</v>
      </c>
      <c r="E26" s="1656">
        <v>1</v>
      </c>
      <c r="F26" s="1657">
        <v>0.69</v>
      </c>
      <c r="G26" s="1660">
        <f t="shared" si="3"/>
        <v>69</v>
      </c>
      <c r="H26" s="1656">
        <v>5602825</v>
      </c>
      <c r="I26" s="1657">
        <v>4536803.58</v>
      </c>
      <c r="J26" s="1660">
        <f t="shared" si="4"/>
        <v>80.973501403309939</v>
      </c>
    </row>
    <row r="27" spans="1:13" ht="17.25" customHeight="1" x14ac:dyDescent="0.2">
      <c r="A27" s="2435" t="s">
        <v>901</v>
      </c>
      <c r="B27" s="2435"/>
      <c r="C27" s="2036"/>
      <c r="D27" s="2036"/>
      <c r="E27" s="2037"/>
      <c r="F27" s="2037"/>
      <c r="G27" s="2037"/>
      <c r="H27" s="2038">
        <f>SUM(H28:H28)</f>
        <v>14079</v>
      </c>
      <c r="I27" s="2039">
        <f>SUM(I28:I28)</f>
        <v>13710</v>
      </c>
      <c r="J27" s="2039">
        <f>+I27/H27*100</f>
        <v>97.379075218410392</v>
      </c>
      <c r="K27" s="1668"/>
      <c r="L27" s="1668"/>
      <c r="M27" s="1669"/>
    </row>
    <row r="28" spans="1:13" ht="25.5" x14ac:dyDescent="0.2">
      <c r="A28" s="596">
        <v>1</v>
      </c>
      <c r="B28" s="2151" t="s">
        <v>1805</v>
      </c>
      <c r="C28" s="570" t="s">
        <v>68</v>
      </c>
      <c r="D28" s="594" t="s">
        <v>41</v>
      </c>
      <c r="E28" s="2152">
        <v>1</v>
      </c>
      <c r="F28" s="2152">
        <v>1</v>
      </c>
      <c r="G28" s="2153">
        <v>100</v>
      </c>
      <c r="H28" s="572">
        <v>14079</v>
      </c>
      <c r="I28" s="569">
        <v>13710</v>
      </c>
      <c r="J28" s="569">
        <f>+I28*100/H28</f>
        <v>97.379075218410392</v>
      </c>
      <c r="K28" s="1668"/>
      <c r="L28" s="1668"/>
      <c r="M28" s="1669"/>
    </row>
    <row r="29" spans="1:13" ht="18.75" customHeight="1" x14ac:dyDescent="0.2">
      <c r="A29" s="2154" t="s">
        <v>1806</v>
      </c>
      <c r="B29" s="2155"/>
      <c r="C29" s="2155"/>
      <c r="D29" s="2155"/>
      <c r="E29" s="2156"/>
      <c r="F29" s="2155"/>
      <c r="G29" s="2155"/>
      <c r="H29" s="2157">
        <f>+H30</f>
        <v>7525</v>
      </c>
      <c r="I29" s="2158">
        <f>+I30</f>
        <v>7334.2</v>
      </c>
      <c r="J29" s="2159">
        <f>+I29/H29*100</f>
        <v>97.464451827242527</v>
      </c>
      <c r="K29" s="1668"/>
      <c r="L29" s="1668"/>
      <c r="M29" s="1669"/>
    </row>
    <row r="30" spans="1:13" ht="27.75" customHeight="1" x14ac:dyDescent="0.2">
      <c r="A30" s="2436">
        <v>1</v>
      </c>
      <c r="B30" s="2439" t="s">
        <v>1804</v>
      </c>
      <c r="C30" s="2440" t="s">
        <v>527</v>
      </c>
      <c r="D30" s="594" t="s">
        <v>1801</v>
      </c>
      <c r="E30" s="604">
        <v>7.11</v>
      </c>
      <c r="F30" s="604">
        <v>7.11</v>
      </c>
      <c r="G30" s="569">
        <f t="shared" ref="G30:G32" si="5">+F30/E30*100</f>
        <v>100</v>
      </c>
      <c r="H30" s="2441">
        <v>7525</v>
      </c>
      <c r="I30" s="2442">
        <v>7334.2</v>
      </c>
      <c r="J30" s="2434">
        <f>+I30/H30*100</f>
        <v>97.464451827242527</v>
      </c>
      <c r="K30" s="1668"/>
      <c r="L30" s="1668"/>
      <c r="M30" s="1669"/>
    </row>
    <row r="31" spans="1:13" ht="28.5" customHeight="1" x14ac:dyDescent="0.2">
      <c r="A31" s="2437"/>
      <c r="B31" s="2439"/>
      <c r="C31" s="2440"/>
      <c r="D31" s="594" t="s">
        <v>1802</v>
      </c>
      <c r="E31" s="604">
        <v>5.75</v>
      </c>
      <c r="F31" s="604">
        <v>5.75</v>
      </c>
      <c r="G31" s="569">
        <f t="shared" si="5"/>
        <v>100</v>
      </c>
      <c r="H31" s="2441"/>
      <c r="I31" s="2442"/>
      <c r="J31" s="2434"/>
      <c r="K31" s="1668"/>
      <c r="L31" s="1668"/>
      <c r="M31" s="1669"/>
    </row>
    <row r="32" spans="1:13" ht="25.5" x14ac:dyDescent="0.2">
      <c r="A32" s="2438"/>
      <c r="B32" s="2439"/>
      <c r="C32" s="2440"/>
      <c r="D32" s="594" t="s">
        <v>1803</v>
      </c>
      <c r="E32" s="604">
        <v>151</v>
      </c>
      <c r="F32" s="604">
        <v>151</v>
      </c>
      <c r="G32" s="569">
        <f t="shared" si="5"/>
        <v>100</v>
      </c>
      <c r="H32" s="2441"/>
      <c r="I32" s="2442"/>
      <c r="J32" s="2434"/>
      <c r="K32" s="1668"/>
      <c r="L32" s="1668"/>
      <c r="M32" s="1669"/>
    </row>
    <row r="33" spans="1:13" ht="18.75" customHeight="1" x14ac:dyDescent="0.2">
      <c r="A33" s="2160" t="s">
        <v>1810</v>
      </c>
      <c r="B33" s="2155"/>
      <c r="C33" s="2155"/>
      <c r="D33" s="2155"/>
      <c r="E33" s="2156"/>
      <c r="F33" s="2155"/>
      <c r="G33" s="2155"/>
      <c r="H33" s="2157">
        <f>SUM(H34:H35)</f>
        <v>195098</v>
      </c>
      <c r="I33" s="2158">
        <f>SUM(I34:I35)</f>
        <v>8476.07</v>
      </c>
      <c r="J33" s="2159">
        <f>+I33/H33*100</f>
        <v>4.3445191647274699</v>
      </c>
      <c r="K33" s="1668"/>
      <c r="L33" s="1668"/>
      <c r="M33" s="1669"/>
    </row>
    <row r="34" spans="1:13" ht="21.75" customHeight="1" x14ac:dyDescent="0.2">
      <c r="A34" s="596">
        <v>1</v>
      </c>
      <c r="B34" s="2161" t="s">
        <v>1884</v>
      </c>
      <c r="C34" s="570" t="s">
        <v>32</v>
      </c>
      <c r="D34" s="570" t="s">
        <v>904</v>
      </c>
      <c r="E34" s="604">
        <v>0.01</v>
      </c>
      <c r="F34" s="604">
        <v>0.01</v>
      </c>
      <c r="G34" s="569">
        <f t="shared" ref="G34" si="6">(F34/E34)*100</f>
        <v>100</v>
      </c>
      <c r="H34" s="572">
        <v>14671</v>
      </c>
      <c r="I34" s="569">
        <v>8476.07</v>
      </c>
      <c r="J34" s="1629">
        <f t="shared" ref="J34:J35" si="7">+I34/H34*100</f>
        <v>57.774316679162972</v>
      </c>
      <c r="K34" s="1668"/>
      <c r="L34" s="1668"/>
      <c r="M34" s="1669"/>
    </row>
    <row r="35" spans="1:13" ht="40.5" customHeight="1" x14ac:dyDescent="0.2">
      <c r="A35" s="596">
        <v>3</v>
      </c>
      <c r="B35" s="598" t="s">
        <v>1808</v>
      </c>
      <c r="C35" s="2162" t="s">
        <v>70</v>
      </c>
      <c r="D35" s="570" t="s">
        <v>1809</v>
      </c>
      <c r="E35" s="604">
        <v>1</v>
      </c>
      <c r="F35" s="604">
        <v>0</v>
      </c>
      <c r="G35" s="569">
        <f>(F35/E35)*100</f>
        <v>0</v>
      </c>
      <c r="H35" s="2163">
        <v>180427</v>
      </c>
      <c r="I35" s="2164">
        <v>0</v>
      </c>
      <c r="J35" s="1629">
        <f t="shared" si="7"/>
        <v>0</v>
      </c>
      <c r="K35" s="1668"/>
      <c r="L35" s="1668"/>
      <c r="M35" s="1669"/>
    </row>
    <row r="36" spans="1:13" ht="18.75" customHeight="1" x14ac:dyDescent="0.2">
      <c r="A36" s="2165" t="s">
        <v>1864</v>
      </c>
      <c r="B36" s="2166"/>
      <c r="C36" s="2167"/>
      <c r="D36" s="2168"/>
      <c r="E36" s="2169"/>
      <c r="F36" s="2170"/>
      <c r="G36" s="2169"/>
      <c r="H36" s="2157">
        <f>SUM(H37:H82)</f>
        <v>9162971</v>
      </c>
      <c r="I36" s="2158">
        <f>SUM(I37:I82)</f>
        <v>1475608.2799999996</v>
      </c>
      <c r="J36" s="591">
        <f>+I36/H36*100</f>
        <v>16.104037435019709</v>
      </c>
      <c r="K36" s="1668"/>
      <c r="L36" s="1668"/>
      <c r="M36" s="1669"/>
    </row>
    <row r="37" spans="1:13" ht="18.75" customHeight="1" x14ac:dyDescent="0.2">
      <c r="A37" s="2171">
        <v>1</v>
      </c>
      <c r="B37" s="601" t="s">
        <v>1845</v>
      </c>
      <c r="C37" s="2172" t="s">
        <v>186</v>
      </c>
      <c r="D37" s="2173" t="s">
        <v>1811</v>
      </c>
      <c r="E37" s="2174">
        <v>1</v>
      </c>
      <c r="F37" s="2174">
        <v>1</v>
      </c>
      <c r="G37" s="2175">
        <v>100</v>
      </c>
      <c r="H37" s="2174">
        <v>1000</v>
      </c>
      <c r="I37" s="2175">
        <v>0</v>
      </c>
      <c r="J37" s="1629">
        <f>+I37/H37*100</f>
        <v>0</v>
      </c>
      <c r="K37" s="1668"/>
      <c r="L37" s="1668"/>
      <c r="M37" s="1669"/>
    </row>
    <row r="38" spans="1:13" ht="18.75" customHeight="1" x14ac:dyDescent="0.2">
      <c r="A38" s="2171">
        <v>2</v>
      </c>
      <c r="B38" s="601" t="s">
        <v>1846</v>
      </c>
      <c r="C38" s="2172" t="s">
        <v>70</v>
      </c>
      <c r="D38" s="2173" t="s">
        <v>1811</v>
      </c>
      <c r="E38" s="2174">
        <v>1</v>
      </c>
      <c r="F38" s="2174">
        <v>1</v>
      </c>
      <c r="G38" s="2175">
        <v>100</v>
      </c>
      <c r="H38" s="2174">
        <v>1000</v>
      </c>
      <c r="I38" s="2175">
        <v>0</v>
      </c>
      <c r="J38" s="1629">
        <f t="shared" ref="J38:J51" si="8">+I38/H38*100</f>
        <v>0</v>
      </c>
    </row>
    <row r="39" spans="1:13" ht="18.75" customHeight="1" x14ac:dyDescent="0.2">
      <c r="A39" s="2171">
        <v>3</v>
      </c>
      <c r="B39" s="601" t="s">
        <v>1847</v>
      </c>
      <c r="C39" s="2172" t="s">
        <v>70</v>
      </c>
      <c r="D39" s="2173" t="s">
        <v>1811</v>
      </c>
      <c r="E39" s="2174">
        <v>1</v>
      </c>
      <c r="F39" s="2174">
        <v>1</v>
      </c>
      <c r="G39" s="2175">
        <v>100</v>
      </c>
      <c r="H39" s="2174">
        <v>1000</v>
      </c>
      <c r="I39" s="2175">
        <v>0</v>
      </c>
      <c r="J39" s="1629">
        <f t="shared" si="8"/>
        <v>0</v>
      </c>
    </row>
    <row r="40" spans="1:13" ht="18.75" customHeight="1" x14ac:dyDescent="0.2">
      <c r="A40" s="2171">
        <v>4</v>
      </c>
      <c r="B40" s="601" t="s">
        <v>1848</v>
      </c>
      <c r="C40" s="2172" t="s">
        <v>68</v>
      </c>
      <c r="D40" s="2173" t="s">
        <v>1811</v>
      </c>
      <c r="E40" s="2174">
        <v>1</v>
      </c>
      <c r="F40" s="2174">
        <v>1</v>
      </c>
      <c r="G40" s="2175">
        <v>100</v>
      </c>
      <c r="H40" s="2174">
        <v>1000</v>
      </c>
      <c r="I40" s="2175">
        <v>0</v>
      </c>
      <c r="J40" s="1629">
        <f t="shared" si="8"/>
        <v>0</v>
      </c>
    </row>
    <row r="41" spans="1:13" ht="18.75" customHeight="1" x14ac:dyDescent="0.2">
      <c r="A41" s="2171">
        <v>5</v>
      </c>
      <c r="B41" s="601" t="s">
        <v>1849</v>
      </c>
      <c r="C41" s="2172" t="s">
        <v>350</v>
      </c>
      <c r="D41" s="2173" t="s">
        <v>1811</v>
      </c>
      <c r="E41" s="2174">
        <v>1</v>
      </c>
      <c r="F41" s="2174">
        <v>1</v>
      </c>
      <c r="G41" s="2175">
        <v>100</v>
      </c>
      <c r="H41" s="2174">
        <v>183133</v>
      </c>
      <c r="I41" s="2175">
        <v>45140.47</v>
      </c>
      <c r="J41" s="1629">
        <f t="shared" si="8"/>
        <v>24.649009190042211</v>
      </c>
    </row>
    <row r="42" spans="1:13" ht="18.75" customHeight="1" x14ac:dyDescent="0.2">
      <c r="A42" s="2171">
        <v>6</v>
      </c>
      <c r="B42" s="601" t="s">
        <v>1850</v>
      </c>
      <c r="C42" s="2172" t="s">
        <v>37</v>
      </c>
      <c r="D42" s="2173" t="s">
        <v>1811</v>
      </c>
      <c r="E42" s="2174">
        <v>1</v>
      </c>
      <c r="F42" s="2174">
        <v>1</v>
      </c>
      <c r="G42" s="2175">
        <v>100</v>
      </c>
      <c r="H42" s="2174">
        <v>1000</v>
      </c>
      <c r="I42" s="2175">
        <v>0</v>
      </c>
      <c r="J42" s="1629">
        <f t="shared" si="8"/>
        <v>0</v>
      </c>
    </row>
    <row r="43" spans="1:13" ht="18.75" customHeight="1" x14ac:dyDescent="0.2">
      <c r="A43" s="2171">
        <v>7</v>
      </c>
      <c r="B43" s="601" t="s">
        <v>1851</v>
      </c>
      <c r="C43" s="2172" t="s">
        <v>37</v>
      </c>
      <c r="D43" s="2173" t="s">
        <v>1811</v>
      </c>
      <c r="E43" s="2174">
        <v>1</v>
      </c>
      <c r="F43" s="2174">
        <v>1</v>
      </c>
      <c r="G43" s="2175">
        <v>100</v>
      </c>
      <c r="H43" s="2174">
        <v>1000</v>
      </c>
      <c r="I43" s="2175">
        <v>0</v>
      </c>
      <c r="J43" s="1629">
        <f t="shared" si="8"/>
        <v>0</v>
      </c>
    </row>
    <row r="44" spans="1:13" ht="18.75" customHeight="1" x14ac:dyDescent="0.2">
      <c r="A44" s="2171">
        <v>8</v>
      </c>
      <c r="B44" s="601" t="s">
        <v>1852</v>
      </c>
      <c r="C44" s="2172" t="s">
        <v>349</v>
      </c>
      <c r="D44" s="2173" t="s">
        <v>1811</v>
      </c>
      <c r="E44" s="2174">
        <v>3</v>
      </c>
      <c r="F44" s="2174">
        <v>3</v>
      </c>
      <c r="G44" s="2175">
        <v>100</v>
      </c>
      <c r="H44" s="2174">
        <v>793003</v>
      </c>
      <c r="I44" s="2175">
        <v>167624.37</v>
      </c>
      <c r="J44" s="1629">
        <f t="shared" si="8"/>
        <v>21.137923816177238</v>
      </c>
    </row>
    <row r="45" spans="1:13" ht="18.75" customHeight="1" x14ac:dyDescent="0.2">
      <c r="A45" s="2171">
        <v>9</v>
      </c>
      <c r="B45" s="601" t="s">
        <v>1853</v>
      </c>
      <c r="C45" s="2172" t="s">
        <v>187</v>
      </c>
      <c r="D45" s="2173" t="s">
        <v>1811</v>
      </c>
      <c r="E45" s="2174">
        <v>1</v>
      </c>
      <c r="F45" s="2174">
        <v>1</v>
      </c>
      <c r="G45" s="2175">
        <v>100</v>
      </c>
      <c r="H45" s="2174">
        <v>790</v>
      </c>
      <c r="I45" s="2175">
        <v>0</v>
      </c>
      <c r="J45" s="1629">
        <f t="shared" si="8"/>
        <v>0</v>
      </c>
    </row>
    <row r="46" spans="1:13" ht="18.75" customHeight="1" x14ac:dyDescent="0.2">
      <c r="A46" s="2171">
        <v>10</v>
      </c>
      <c r="B46" s="601" t="s">
        <v>1854</v>
      </c>
      <c r="C46" s="2172" t="s">
        <v>69</v>
      </c>
      <c r="D46" s="2173" t="s">
        <v>1811</v>
      </c>
      <c r="E46" s="2174">
        <v>1</v>
      </c>
      <c r="F46" s="2174">
        <v>1</v>
      </c>
      <c r="G46" s="2175">
        <v>100</v>
      </c>
      <c r="H46" s="2174">
        <v>163122</v>
      </c>
      <c r="I46" s="2175">
        <v>24337.75</v>
      </c>
      <c r="J46" s="1629">
        <f>+I46/H46*100</f>
        <v>14.919967876803863</v>
      </c>
    </row>
    <row r="47" spans="1:13" ht="18.75" customHeight="1" x14ac:dyDescent="0.2">
      <c r="A47" s="2171">
        <v>11</v>
      </c>
      <c r="B47" s="601" t="s">
        <v>1855</v>
      </c>
      <c r="C47" s="2172" t="s">
        <v>69</v>
      </c>
      <c r="D47" s="2173" t="s">
        <v>1811</v>
      </c>
      <c r="E47" s="2174">
        <v>4</v>
      </c>
      <c r="F47" s="2174">
        <v>4</v>
      </c>
      <c r="G47" s="2175">
        <v>100</v>
      </c>
      <c r="H47" s="2174">
        <v>394820</v>
      </c>
      <c r="I47" s="2175">
        <v>29084.760000000002</v>
      </c>
      <c r="J47" s="1629">
        <f>+I47/H47*100</f>
        <v>7.3665873056076192</v>
      </c>
    </row>
    <row r="48" spans="1:13" ht="18.75" customHeight="1" x14ac:dyDescent="0.2">
      <c r="A48" s="2171">
        <v>12</v>
      </c>
      <c r="B48" s="601" t="s">
        <v>1856</v>
      </c>
      <c r="C48" s="2172" t="s">
        <v>69</v>
      </c>
      <c r="D48" s="2173" t="s">
        <v>1811</v>
      </c>
      <c r="E48" s="2174">
        <v>2</v>
      </c>
      <c r="F48" s="2174">
        <v>2</v>
      </c>
      <c r="G48" s="2175">
        <v>100</v>
      </c>
      <c r="H48" s="2174">
        <v>68414</v>
      </c>
      <c r="I48" s="2175">
        <v>28712.239999999998</v>
      </c>
      <c r="J48" s="1629">
        <f t="shared" si="8"/>
        <v>41.968369047271025</v>
      </c>
    </row>
    <row r="49" spans="1:10" ht="18.75" customHeight="1" x14ac:dyDescent="0.2">
      <c r="A49" s="2171">
        <v>13</v>
      </c>
      <c r="B49" s="601" t="s">
        <v>1857</v>
      </c>
      <c r="C49" s="2172" t="s">
        <v>186</v>
      </c>
      <c r="D49" s="2173" t="s">
        <v>1811</v>
      </c>
      <c r="E49" s="2174">
        <v>1</v>
      </c>
      <c r="F49" s="2174">
        <v>1</v>
      </c>
      <c r="G49" s="2175">
        <v>100</v>
      </c>
      <c r="H49" s="2174">
        <v>2980</v>
      </c>
      <c r="I49" s="2175">
        <v>0</v>
      </c>
      <c r="J49" s="1629">
        <f t="shared" si="8"/>
        <v>0</v>
      </c>
    </row>
    <row r="50" spans="1:10" ht="18.75" customHeight="1" x14ac:dyDescent="0.2">
      <c r="A50" s="2171">
        <v>14</v>
      </c>
      <c r="B50" s="601" t="s">
        <v>1858</v>
      </c>
      <c r="C50" s="2172" t="s">
        <v>70</v>
      </c>
      <c r="D50" s="2173" t="s">
        <v>1811</v>
      </c>
      <c r="E50" s="2174">
        <v>1</v>
      </c>
      <c r="F50" s="2174">
        <v>1</v>
      </c>
      <c r="G50" s="2175">
        <v>100</v>
      </c>
      <c r="H50" s="2174">
        <v>1000</v>
      </c>
      <c r="I50" s="2175">
        <v>0</v>
      </c>
      <c r="J50" s="1629">
        <f t="shared" si="8"/>
        <v>0</v>
      </c>
    </row>
    <row r="51" spans="1:10" ht="18.75" customHeight="1" x14ac:dyDescent="0.2">
      <c r="A51" s="2171">
        <v>15</v>
      </c>
      <c r="B51" s="601" t="s">
        <v>1859</v>
      </c>
      <c r="C51" s="2172" t="s">
        <v>70</v>
      </c>
      <c r="D51" s="2173" t="s">
        <v>1811</v>
      </c>
      <c r="E51" s="2174">
        <v>1</v>
      </c>
      <c r="F51" s="2174">
        <v>1</v>
      </c>
      <c r="G51" s="2175">
        <v>100</v>
      </c>
      <c r="H51" s="2174">
        <v>153143</v>
      </c>
      <c r="I51" s="2175">
        <v>38705.899999999994</v>
      </c>
      <c r="J51" s="1629">
        <f t="shared" si="8"/>
        <v>25.274351423179635</v>
      </c>
    </row>
    <row r="52" spans="1:10" ht="18.75" customHeight="1" x14ac:dyDescent="0.2">
      <c r="A52" s="2171">
        <v>16</v>
      </c>
      <c r="B52" s="601" t="s">
        <v>1860</v>
      </c>
      <c r="C52" s="2172" t="s">
        <v>350</v>
      </c>
      <c r="D52" s="2173" t="s">
        <v>1811</v>
      </c>
      <c r="E52" s="2174">
        <v>1</v>
      </c>
      <c r="F52" s="2174">
        <v>1</v>
      </c>
      <c r="G52" s="2175">
        <v>100</v>
      </c>
      <c r="H52" s="2174">
        <v>186330</v>
      </c>
      <c r="I52" s="2175">
        <v>31382.34</v>
      </c>
      <c r="J52" s="1629">
        <f t="shared" ref="J52:J82" si="9">+I52/H52*100</f>
        <v>16.842344227982611</v>
      </c>
    </row>
    <row r="53" spans="1:10" ht="18.75" customHeight="1" x14ac:dyDescent="0.2">
      <c r="A53" s="2171">
        <v>17</v>
      </c>
      <c r="B53" s="601" t="s">
        <v>1861</v>
      </c>
      <c r="C53" s="2172" t="s">
        <v>350</v>
      </c>
      <c r="D53" s="2173" t="s">
        <v>1811</v>
      </c>
      <c r="E53" s="2174">
        <v>1</v>
      </c>
      <c r="F53" s="2174">
        <v>1</v>
      </c>
      <c r="G53" s="2175">
        <v>100</v>
      </c>
      <c r="H53" s="2174">
        <v>291149</v>
      </c>
      <c r="I53" s="2175">
        <v>6099.0700000000006</v>
      </c>
      <c r="J53" s="1629">
        <f t="shared" si="9"/>
        <v>2.0948277342529087</v>
      </c>
    </row>
    <row r="54" spans="1:10" ht="18.75" customHeight="1" x14ac:dyDescent="0.2">
      <c r="A54" s="2171">
        <v>18</v>
      </c>
      <c r="B54" s="601" t="s">
        <v>1862</v>
      </c>
      <c r="C54" s="2172" t="s">
        <v>720</v>
      </c>
      <c r="D54" s="2173" t="s">
        <v>1811</v>
      </c>
      <c r="E54" s="2174">
        <v>1</v>
      </c>
      <c r="F54" s="2174">
        <v>1</v>
      </c>
      <c r="G54" s="2175">
        <v>100</v>
      </c>
      <c r="H54" s="2174">
        <v>354824</v>
      </c>
      <c r="I54" s="2175">
        <v>55042.95</v>
      </c>
      <c r="J54" s="1629">
        <f t="shared" si="9"/>
        <v>15.512747164791557</v>
      </c>
    </row>
    <row r="55" spans="1:10" ht="18.75" customHeight="1" x14ac:dyDescent="0.2">
      <c r="A55" s="2171">
        <v>19</v>
      </c>
      <c r="B55" s="601" t="s">
        <v>1863</v>
      </c>
      <c r="C55" s="2172" t="s">
        <v>720</v>
      </c>
      <c r="D55" s="2173" t="s">
        <v>1811</v>
      </c>
      <c r="E55" s="2174">
        <v>1</v>
      </c>
      <c r="F55" s="2174">
        <v>1</v>
      </c>
      <c r="G55" s="2175">
        <v>100</v>
      </c>
      <c r="H55" s="2174">
        <v>238842</v>
      </c>
      <c r="I55" s="2175">
        <v>72085.06</v>
      </c>
      <c r="J55" s="1629">
        <f t="shared" si="9"/>
        <v>30.181065306771838</v>
      </c>
    </row>
    <row r="56" spans="1:10" ht="28.5" customHeight="1" x14ac:dyDescent="0.2">
      <c r="A56" s="2171">
        <v>20</v>
      </c>
      <c r="B56" s="593" t="s">
        <v>1885</v>
      </c>
      <c r="C56" s="2172" t="s">
        <v>1812</v>
      </c>
      <c r="D56" s="2173" t="s">
        <v>93</v>
      </c>
      <c r="E56" s="2174">
        <v>1</v>
      </c>
      <c r="F56" s="2175">
        <v>0.2</v>
      </c>
      <c r="G56" s="2175">
        <v>20</v>
      </c>
      <c r="H56" s="2174">
        <v>2983700</v>
      </c>
      <c r="I56" s="2175">
        <v>493226.75</v>
      </c>
      <c r="J56" s="1629">
        <f t="shared" si="9"/>
        <v>16.530708516271744</v>
      </c>
    </row>
    <row r="57" spans="1:10" ht="38.25" x14ac:dyDescent="0.2">
      <c r="A57" s="2171">
        <v>21</v>
      </c>
      <c r="B57" s="613" t="s">
        <v>1818</v>
      </c>
      <c r="C57" s="2172" t="s">
        <v>37</v>
      </c>
      <c r="D57" s="2173" t="s">
        <v>41</v>
      </c>
      <c r="E57" s="2174">
        <v>1</v>
      </c>
      <c r="F57" s="2175">
        <v>0.97799999999999998</v>
      </c>
      <c r="G57" s="2175">
        <f>+F57/E57*100</f>
        <v>97.8</v>
      </c>
      <c r="H57" s="2174">
        <v>62500</v>
      </c>
      <c r="I57" s="2175">
        <v>8877.18</v>
      </c>
      <c r="J57" s="1629">
        <f t="shared" si="9"/>
        <v>14.203488</v>
      </c>
    </row>
    <row r="58" spans="1:10" ht="38.25" x14ac:dyDescent="0.2">
      <c r="A58" s="2171">
        <v>22</v>
      </c>
      <c r="B58" s="613" t="s">
        <v>1886</v>
      </c>
      <c r="C58" s="2172" t="s">
        <v>1813</v>
      </c>
      <c r="D58" s="2173" t="s">
        <v>41</v>
      </c>
      <c r="E58" s="2174">
        <v>1</v>
      </c>
      <c r="F58" s="2175">
        <v>0.97799999999999998</v>
      </c>
      <c r="G58" s="2175">
        <f>+F58/E58*100</f>
        <v>97.8</v>
      </c>
      <c r="H58" s="2174">
        <v>26000</v>
      </c>
      <c r="I58" s="2175">
        <v>4132.96</v>
      </c>
      <c r="J58" s="1629">
        <f t="shared" si="9"/>
        <v>15.895999999999999</v>
      </c>
    </row>
    <row r="59" spans="1:10" ht="30.75" customHeight="1" x14ac:dyDescent="0.2">
      <c r="A59" s="2171">
        <v>23</v>
      </c>
      <c r="B59" s="613" t="s">
        <v>1819</v>
      </c>
      <c r="C59" s="2172" t="s">
        <v>1814</v>
      </c>
      <c r="D59" s="2173" t="s">
        <v>41</v>
      </c>
      <c r="E59" s="2174">
        <v>1</v>
      </c>
      <c r="F59" s="2174">
        <v>1</v>
      </c>
      <c r="G59" s="2175">
        <v>100</v>
      </c>
      <c r="H59" s="2174">
        <v>93115</v>
      </c>
      <c r="I59" s="2175">
        <v>14810.939999999999</v>
      </c>
      <c r="J59" s="1629">
        <f t="shared" si="9"/>
        <v>15.906073135370239</v>
      </c>
    </row>
    <row r="60" spans="1:10" ht="38.25" x14ac:dyDescent="0.2">
      <c r="A60" s="2171">
        <v>24</v>
      </c>
      <c r="B60" s="613" t="s">
        <v>1820</v>
      </c>
      <c r="C60" s="2172" t="s">
        <v>1814</v>
      </c>
      <c r="D60" s="2173" t="s">
        <v>41</v>
      </c>
      <c r="E60" s="2174">
        <v>1</v>
      </c>
      <c r="F60" s="2174">
        <v>1</v>
      </c>
      <c r="G60" s="2175">
        <v>100</v>
      </c>
      <c r="H60" s="2174">
        <v>100970</v>
      </c>
      <c r="I60" s="2175">
        <v>42001.45</v>
      </c>
      <c r="J60" s="1629">
        <f t="shared" si="9"/>
        <v>41.597949886104779</v>
      </c>
    </row>
    <row r="61" spans="1:10" ht="15" customHeight="1" x14ac:dyDescent="0.2">
      <c r="A61" s="2171">
        <v>25</v>
      </c>
      <c r="B61" s="613" t="s">
        <v>1821</v>
      </c>
      <c r="C61" s="2172" t="s">
        <v>1814</v>
      </c>
      <c r="D61" s="2173" t="s">
        <v>41</v>
      </c>
      <c r="E61" s="2174">
        <v>1</v>
      </c>
      <c r="F61" s="2174">
        <v>1</v>
      </c>
      <c r="G61" s="2175">
        <v>100</v>
      </c>
      <c r="H61" s="2174">
        <v>91500</v>
      </c>
      <c r="I61" s="2175">
        <v>31643.190000000002</v>
      </c>
      <c r="J61" s="1629">
        <f t="shared" si="9"/>
        <v>34.58272131147541</v>
      </c>
    </row>
    <row r="62" spans="1:10" ht="14.25" customHeight="1" x14ac:dyDescent="0.2">
      <c r="A62" s="2171">
        <v>26</v>
      </c>
      <c r="B62" s="613" t="s">
        <v>1822</v>
      </c>
      <c r="C62" s="2172" t="s">
        <v>1814</v>
      </c>
      <c r="D62" s="2173" t="s">
        <v>41</v>
      </c>
      <c r="E62" s="2174">
        <v>2</v>
      </c>
      <c r="F62" s="2175">
        <v>2</v>
      </c>
      <c r="G62" s="2175">
        <v>100</v>
      </c>
      <c r="H62" s="2174">
        <v>430691</v>
      </c>
      <c r="I62" s="2175">
        <v>42380.52</v>
      </c>
      <c r="J62" s="1629">
        <f t="shared" si="9"/>
        <v>9.8401220364484043</v>
      </c>
    </row>
    <row r="63" spans="1:10" ht="27" customHeight="1" x14ac:dyDescent="0.2">
      <c r="A63" s="2171">
        <v>27</v>
      </c>
      <c r="B63" s="613" t="s">
        <v>1823</v>
      </c>
      <c r="C63" s="2172" t="s">
        <v>186</v>
      </c>
      <c r="D63" s="2173" t="s">
        <v>41</v>
      </c>
      <c r="E63" s="2175">
        <v>1</v>
      </c>
      <c r="F63" s="2175">
        <v>1</v>
      </c>
      <c r="G63" s="2175">
        <v>100</v>
      </c>
      <c r="H63" s="2174">
        <v>108620</v>
      </c>
      <c r="I63" s="2175">
        <v>49425.240000000005</v>
      </c>
      <c r="J63" s="1629">
        <f t="shared" si="9"/>
        <v>45.502890812005163</v>
      </c>
    </row>
    <row r="64" spans="1:10" ht="25.5" x14ac:dyDescent="0.2">
      <c r="A64" s="2171">
        <v>28</v>
      </c>
      <c r="B64" s="613" t="s">
        <v>1824</v>
      </c>
      <c r="C64" s="2172" t="s">
        <v>1814</v>
      </c>
      <c r="D64" s="574" t="s">
        <v>706</v>
      </c>
      <c r="E64" s="2174">
        <v>1</v>
      </c>
      <c r="F64" s="2176">
        <v>0</v>
      </c>
      <c r="G64" s="2175">
        <v>0</v>
      </c>
      <c r="H64" s="2174">
        <v>1885</v>
      </c>
      <c r="I64" s="2175">
        <v>0</v>
      </c>
      <c r="J64" s="1629">
        <f t="shared" si="9"/>
        <v>0</v>
      </c>
    </row>
    <row r="65" spans="1:10" ht="25.5" x14ac:dyDescent="0.2">
      <c r="A65" s="2171">
        <v>29</v>
      </c>
      <c r="B65" s="613" t="s">
        <v>1825</v>
      </c>
      <c r="C65" s="2172" t="s">
        <v>350</v>
      </c>
      <c r="D65" s="574" t="s">
        <v>706</v>
      </c>
      <c r="E65" s="2174">
        <v>1</v>
      </c>
      <c r="F65" s="2174">
        <v>0</v>
      </c>
      <c r="G65" s="2175">
        <v>0</v>
      </c>
      <c r="H65" s="2174">
        <v>2125</v>
      </c>
      <c r="I65" s="2175">
        <v>0</v>
      </c>
      <c r="J65" s="1629">
        <f t="shared" si="9"/>
        <v>0</v>
      </c>
    </row>
    <row r="66" spans="1:10" ht="25.5" customHeight="1" x14ac:dyDescent="0.2">
      <c r="A66" s="2171">
        <v>30</v>
      </c>
      <c r="B66" s="613" t="s">
        <v>1826</v>
      </c>
      <c r="C66" s="2172" t="s">
        <v>350</v>
      </c>
      <c r="D66" s="574" t="s">
        <v>706</v>
      </c>
      <c r="E66" s="2174">
        <v>1</v>
      </c>
      <c r="F66" s="2174">
        <v>0</v>
      </c>
      <c r="G66" s="2175">
        <v>0</v>
      </c>
      <c r="H66" s="2174">
        <v>3575</v>
      </c>
      <c r="I66" s="2175">
        <v>0</v>
      </c>
      <c r="J66" s="1629">
        <f t="shared" si="9"/>
        <v>0</v>
      </c>
    </row>
    <row r="67" spans="1:10" ht="24" customHeight="1" x14ac:dyDescent="0.2">
      <c r="A67" s="2171">
        <v>31</v>
      </c>
      <c r="B67" s="613" t="s">
        <v>1827</v>
      </c>
      <c r="C67" s="2172" t="s">
        <v>349</v>
      </c>
      <c r="D67" s="574" t="s">
        <v>706</v>
      </c>
      <c r="E67" s="2174">
        <v>1</v>
      </c>
      <c r="F67" s="2175">
        <v>0.32</v>
      </c>
      <c r="G67" s="2175">
        <f>+F67/E67*100</f>
        <v>32</v>
      </c>
      <c r="H67" s="2174">
        <v>5825</v>
      </c>
      <c r="I67" s="2175">
        <v>1854</v>
      </c>
      <c r="J67" s="1629">
        <f t="shared" si="9"/>
        <v>31.828326180257509</v>
      </c>
    </row>
    <row r="68" spans="1:10" ht="25.5" x14ac:dyDescent="0.2">
      <c r="A68" s="2171">
        <v>32</v>
      </c>
      <c r="B68" s="613" t="s">
        <v>1828</v>
      </c>
      <c r="C68" s="2172" t="s">
        <v>349</v>
      </c>
      <c r="D68" s="574" t="s">
        <v>706</v>
      </c>
      <c r="E68" s="2174">
        <v>1</v>
      </c>
      <c r="F68" s="2175">
        <v>0.17</v>
      </c>
      <c r="G68" s="2175">
        <f>+F68/E68*100</f>
        <v>17</v>
      </c>
      <c r="H68" s="2174">
        <v>11085</v>
      </c>
      <c r="I68" s="2175">
        <v>1854</v>
      </c>
      <c r="J68" s="1629">
        <f t="shared" si="9"/>
        <v>16.725304465493913</v>
      </c>
    </row>
    <row r="69" spans="1:10" ht="38.25" x14ac:dyDescent="0.2">
      <c r="A69" s="2171">
        <v>33</v>
      </c>
      <c r="B69" s="613" t="s">
        <v>1829</v>
      </c>
      <c r="C69" s="2172" t="s">
        <v>349</v>
      </c>
      <c r="D69" s="574" t="s">
        <v>706</v>
      </c>
      <c r="E69" s="2174">
        <v>1</v>
      </c>
      <c r="F69" s="2175">
        <v>0.04</v>
      </c>
      <c r="G69" s="2175">
        <f>+F69/E69*100</f>
        <v>4</v>
      </c>
      <c r="H69" s="2174">
        <v>47823</v>
      </c>
      <c r="I69" s="2175">
        <v>1854</v>
      </c>
      <c r="J69" s="1629">
        <f t="shared" si="9"/>
        <v>3.8767956840850637</v>
      </c>
    </row>
    <row r="70" spans="1:10" ht="28.5" customHeight="1" x14ac:dyDescent="0.2">
      <c r="A70" s="2171">
        <v>34</v>
      </c>
      <c r="B70" s="593" t="s">
        <v>1830</v>
      </c>
      <c r="C70" s="2172" t="s">
        <v>186</v>
      </c>
      <c r="D70" s="574" t="s">
        <v>706</v>
      </c>
      <c r="E70" s="2174">
        <v>1</v>
      </c>
      <c r="F70" s="2175">
        <v>0.21</v>
      </c>
      <c r="G70" s="2175">
        <f>+F70/E70*100</f>
        <v>21</v>
      </c>
      <c r="H70" s="2174">
        <v>81102</v>
      </c>
      <c r="I70" s="2175">
        <v>16691.169999999998</v>
      </c>
      <c r="J70" s="1629">
        <f t="shared" si="9"/>
        <v>20.580466572957508</v>
      </c>
    </row>
    <row r="71" spans="1:10" ht="38.25" x14ac:dyDescent="0.2">
      <c r="A71" s="2171">
        <v>35</v>
      </c>
      <c r="B71" s="593" t="s">
        <v>1831</v>
      </c>
      <c r="C71" s="2172" t="s">
        <v>186</v>
      </c>
      <c r="D71" s="574" t="s">
        <v>706</v>
      </c>
      <c r="E71" s="2174">
        <v>1</v>
      </c>
      <c r="F71" s="2174">
        <v>0</v>
      </c>
      <c r="G71" s="2175">
        <f t="shared" ref="G71" si="10">+F71/E71*100</f>
        <v>0</v>
      </c>
      <c r="H71" s="2174">
        <v>8000</v>
      </c>
      <c r="I71" s="2175">
        <v>0</v>
      </c>
      <c r="J71" s="1629">
        <f t="shared" si="9"/>
        <v>0</v>
      </c>
    </row>
    <row r="72" spans="1:10" ht="27" customHeight="1" x14ac:dyDescent="0.2">
      <c r="A72" s="2171">
        <v>36</v>
      </c>
      <c r="B72" s="593" t="s">
        <v>1832</v>
      </c>
      <c r="C72" s="2172" t="s">
        <v>350</v>
      </c>
      <c r="D72" s="574" t="s">
        <v>706</v>
      </c>
      <c r="E72" s="2174">
        <v>1</v>
      </c>
      <c r="F72" s="2175">
        <v>1.2999999999999999E-2</v>
      </c>
      <c r="G72" s="2175">
        <f>+F72/E72*100</f>
        <v>1.3</v>
      </c>
      <c r="H72" s="2174">
        <v>141372</v>
      </c>
      <c r="I72" s="2175">
        <v>1854</v>
      </c>
      <c r="J72" s="1629">
        <f t="shared" si="9"/>
        <v>1.3114336643748408</v>
      </c>
    </row>
    <row r="73" spans="1:10" ht="27.75" customHeight="1" x14ac:dyDescent="0.2">
      <c r="A73" s="2171">
        <v>37</v>
      </c>
      <c r="B73" s="593" t="s">
        <v>1834</v>
      </c>
      <c r="C73" s="2172" t="s">
        <v>1815</v>
      </c>
      <c r="D73" s="2173" t="s">
        <v>41</v>
      </c>
      <c r="E73" s="2174">
        <v>1</v>
      </c>
      <c r="F73" s="2174">
        <v>1</v>
      </c>
      <c r="G73" s="2175">
        <v>100</v>
      </c>
      <c r="H73" s="2174">
        <v>96858</v>
      </c>
      <c r="I73" s="2175">
        <v>18389.46</v>
      </c>
      <c r="J73" s="1629">
        <f t="shared" si="9"/>
        <v>18.986000123892708</v>
      </c>
    </row>
    <row r="74" spans="1:10" ht="38.25" x14ac:dyDescent="0.2">
      <c r="A74" s="2171">
        <v>38</v>
      </c>
      <c r="B74" s="593" t="s">
        <v>1833</v>
      </c>
      <c r="C74" s="2172" t="s">
        <v>186</v>
      </c>
      <c r="D74" s="2173" t="s">
        <v>41</v>
      </c>
      <c r="E74" s="2174">
        <v>1</v>
      </c>
      <c r="F74" s="2174">
        <v>1</v>
      </c>
      <c r="G74" s="2175">
        <v>100</v>
      </c>
      <c r="H74" s="2174">
        <v>50500</v>
      </c>
      <c r="I74" s="2175">
        <v>3048.63</v>
      </c>
      <c r="J74" s="1629">
        <f t="shared" si="9"/>
        <v>6.0368910891089111</v>
      </c>
    </row>
    <row r="75" spans="1:10" ht="38.25" x14ac:dyDescent="0.2">
      <c r="A75" s="2171">
        <v>39</v>
      </c>
      <c r="B75" s="593" t="s">
        <v>1836</v>
      </c>
      <c r="C75" s="2172" t="s">
        <v>186</v>
      </c>
      <c r="D75" s="2173" t="s">
        <v>41</v>
      </c>
      <c r="E75" s="2174">
        <v>1</v>
      </c>
      <c r="F75" s="2174">
        <v>1</v>
      </c>
      <c r="G75" s="2175">
        <v>100</v>
      </c>
      <c r="H75" s="2174">
        <v>61730</v>
      </c>
      <c r="I75" s="2175">
        <v>48280.34</v>
      </c>
      <c r="J75" s="1629">
        <f t="shared" si="9"/>
        <v>78.212117284950594</v>
      </c>
    </row>
    <row r="76" spans="1:10" ht="38.25" x14ac:dyDescent="0.2">
      <c r="A76" s="2171">
        <v>40</v>
      </c>
      <c r="B76" s="593" t="s">
        <v>1835</v>
      </c>
      <c r="C76" s="2172" t="s">
        <v>186</v>
      </c>
      <c r="D76" s="2173" t="s">
        <v>41</v>
      </c>
      <c r="E76" s="2174">
        <v>1</v>
      </c>
      <c r="F76" s="2174">
        <v>1</v>
      </c>
      <c r="G76" s="2175">
        <v>100</v>
      </c>
      <c r="H76" s="2174">
        <v>59400</v>
      </c>
      <c r="I76" s="2175">
        <v>48135.5</v>
      </c>
      <c r="J76" s="1629">
        <f t="shared" si="9"/>
        <v>81.036195286195294</v>
      </c>
    </row>
    <row r="77" spans="1:10" ht="38.25" x14ac:dyDescent="0.2">
      <c r="A77" s="2171">
        <v>41</v>
      </c>
      <c r="B77" s="593" t="s">
        <v>1843</v>
      </c>
      <c r="C77" s="2172" t="s">
        <v>186</v>
      </c>
      <c r="D77" s="2173" t="s">
        <v>41</v>
      </c>
      <c r="E77" s="2174">
        <v>1</v>
      </c>
      <c r="F77" s="2174">
        <v>1</v>
      </c>
      <c r="G77" s="2175">
        <v>100</v>
      </c>
      <c r="H77" s="2174">
        <v>2045</v>
      </c>
      <c r="I77" s="2175">
        <v>851.65</v>
      </c>
      <c r="J77" s="1629">
        <f t="shared" si="9"/>
        <v>41.645476772616135</v>
      </c>
    </row>
    <row r="78" spans="1:10" ht="38.25" x14ac:dyDescent="0.2">
      <c r="A78" s="2171">
        <v>42</v>
      </c>
      <c r="B78" s="593" t="s">
        <v>1842</v>
      </c>
      <c r="C78" s="2172" t="s">
        <v>186</v>
      </c>
      <c r="D78" s="2173" t="s">
        <v>41</v>
      </c>
      <c r="E78" s="2174">
        <v>1</v>
      </c>
      <c r="F78" s="2174">
        <v>1</v>
      </c>
      <c r="G78" s="2175">
        <v>100</v>
      </c>
      <c r="H78" s="2174">
        <v>1000</v>
      </c>
      <c r="I78" s="2175">
        <v>0</v>
      </c>
      <c r="J78" s="1629">
        <f t="shared" si="9"/>
        <v>0</v>
      </c>
    </row>
    <row r="79" spans="1:10" ht="38.25" x14ac:dyDescent="0.2">
      <c r="A79" s="2171">
        <v>43</v>
      </c>
      <c r="B79" s="593" t="s">
        <v>1844</v>
      </c>
      <c r="C79" s="2172" t="s">
        <v>186</v>
      </c>
      <c r="D79" s="2173" t="s">
        <v>41</v>
      </c>
      <c r="E79" s="2174">
        <v>1</v>
      </c>
      <c r="F79" s="2174">
        <v>1</v>
      </c>
      <c r="G79" s="2175">
        <v>100</v>
      </c>
      <c r="H79" s="2174">
        <v>59000</v>
      </c>
      <c r="I79" s="2175">
        <v>48135.5</v>
      </c>
      <c r="J79" s="1629">
        <f t="shared" si="9"/>
        <v>81.585593220338978</v>
      </c>
    </row>
    <row r="80" spans="1:10" ht="21" customHeight="1" x14ac:dyDescent="0.2">
      <c r="A80" s="2171">
        <v>44</v>
      </c>
      <c r="B80" s="601" t="s">
        <v>1838</v>
      </c>
      <c r="C80" s="2172" t="s">
        <v>186</v>
      </c>
      <c r="D80" s="2173" t="s">
        <v>1811</v>
      </c>
      <c r="E80" s="2174">
        <v>1</v>
      </c>
      <c r="F80" s="2177">
        <v>0.03</v>
      </c>
      <c r="G80" s="2175">
        <f>+F80/E80*100</f>
        <v>3</v>
      </c>
      <c r="H80" s="2174">
        <v>1740000</v>
      </c>
      <c r="I80" s="2175">
        <v>95813.91</v>
      </c>
      <c r="J80" s="1629">
        <f t="shared" si="9"/>
        <v>5.5065465517241385</v>
      </c>
    </row>
    <row r="81" spans="1:10" ht="27.75" customHeight="1" x14ac:dyDescent="0.2">
      <c r="A81" s="2171">
        <v>45</v>
      </c>
      <c r="B81" s="593" t="s">
        <v>1828</v>
      </c>
      <c r="C81" s="2172" t="s">
        <v>37</v>
      </c>
      <c r="D81" s="2173" t="s">
        <v>41</v>
      </c>
      <c r="E81" s="2174">
        <v>1</v>
      </c>
      <c r="F81" s="2177">
        <v>0.97799999999999998</v>
      </c>
      <c r="G81" s="2175">
        <v>97.89</v>
      </c>
      <c r="H81" s="2174">
        <v>20000</v>
      </c>
      <c r="I81" s="2175">
        <v>0</v>
      </c>
      <c r="J81" s="1629">
        <f t="shared" si="9"/>
        <v>0</v>
      </c>
    </row>
    <row r="82" spans="1:10" ht="41.25" customHeight="1" x14ac:dyDescent="0.2">
      <c r="A82" s="2171">
        <v>46</v>
      </c>
      <c r="B82" s="593" t="s">
        <v>1837</v>
      </c>
      <c r="C82" s="2172" t="s">
        <v>1813</v>
      </c>
      <c r="D82" s="2173" t="s">
        <v>41</v>
      </c>
      <c r="E82" s="2174">
        <v>1</v>
      </c>
      <c r="F82" s="2177">
        <v>0.97799999999999998</v>
      </c>
      <c r="G82" s="2175">
        <v>97.89</v>
      </c>
      <c r="H82" s="2174">
        <v>35000</v>
      </c>
      <c r="I82" s="2175">
        <v>4132.9799999999996</v>
      </c>
      <c r="J82" s="1629">
        <f t="shared" si="9"/>
        <v>11.808514285714285</v>
      </c>
    </row>
    <row r="85" spans="1:10" x14ac:dyDescent="0.2">
      <c r="H85" s="32"/>
    </row>
    <row r="87" spans="1:10" x14ac:dyDescent="0.2">
      <c r="H87" s="32"/>
    </row>
  </sheetData>
  <mergeCells count="17">
    <mergeCell ref="A2:B2"/>
    <mergeCell ref="A6:A7"/>
    <mergeCell ref="B6:B7"/>
    <mergeCell ref="C6:C7"/>
    <mergeCell ref="D6:G6"/>
    <mergeCell ref="H6:J6"/>
    <mergeCell ref="C8:G8"/>
    <mergeCell ref="A3:J3"/>
    <mergeCell ref="A4:J4"/>
    <mergeCell ref="A5:J5"/>
    <mergeCell ref="J30:J32"/>
    <mergeCell ref="A27:B27"/>
    <mergeCell ref="A30:A32"/>
    <mergeCell ref="B30:B32"/>
    <mergeCell ref="C30:C32"/>
    <mergeCell ref="H30:H32"/>
    <mergeCell ref="I30:I32"/>
  </mergeCells>
  <printOptions horizontalCentered="1" verticalCentered="1"/>
  <pageMargins left="0.70866141732283472" right="0.70866141732283472" top="0.94488188976377963" bottom="0.62992125984251968" header="0.31496062992125984" footer="0.15748031496062992"/>
  <pageSetup paperSize="9" scale="76" orientation="landscape" r:id="rId1"/>
  <headerFooter>
    <oddHeader>&amp;L&amp;G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OE.1.1</vt:lpstr>
      <vt:lpstr>OE.1.2</vt:lpstr>
      <vt:lpstr>OE.1.3</vt:lpstr>
      <vt:lpstr>OE.1.4</vt:lpstr>
      <vt:lpstr>OE.1.5</vt:lpstr>
      <vt:lpstr>OE.2.1</vt:lpstr>
      <vt:lpstr>OE.2.2</vt:lpstr>
      <vt:lpstr>OE.2.3</vt:lpstr>
      <vt:lpstr>OE.2.4</vt:lpstr>
      <vt:lpstr>OE.2.5</vt:lpstr>
      <vt:lpstr>OE.3.2</vt:lpstr>
      <vt:lpstr>OE.3.3</vt:lpstr>
      <vt:lpstr>OE.4.1</vt:lpstr>
      <vt:lpstr>OE.4.2</vt:lpstr>
      <vt:lpstr>OE.4.3</vt:lpstr>
      <vt:lpstr>OE.4.4</vt:lpstr>
      <vt:lpstr>Anexo 1</vt:lpstr>
      <vt:lpstr>Anexo 2</vt:lpstr>
      <vt:lpstr>Hoja2</vt:lpstr>
      <vt:lpstr>OE.1.1!Área_de_impresión</vt:lpstr>
      <vt:lpstr>'Anexo 1'!Títulos_a_imprimir</vt:lpstr>
      <vt:lpstr>'Anexo 2'!Títulos_a_imprimir</vt:lpstr>
      <vt:lpstr>OE.1.1!Títulos_a_imprimir</vt:lpstr>
      <vt:lpstr>OE.1.2!Títulos_a_imprimir</vt:lpstr>
      <vt:lpstr>OE.1.3!Títulos_a_imprimir</vt:lpstr>
      <vt:lpstr>OE.1.4!Títulos_a_imprimir</vt:lpstr>
      <vt:lpstr>OE.1.5!Títulos_a_imprimir</vt:lpstr>
      <vt:lpstr>OE.2.1!Títulos_a_imprimir</vt:lpstr>
      <vt:lpstr>OE.2.2!Títulos_a_imprimir</vt:lpstr>
      <vt:lpstr>OE.2.3!Títulos_a_imprimir</vt:lpstr>
      <vt:lpstr>OE.2.4!Títulos_a_imprimir</vt:lpstr>
      <vt:lpstr>OE.2.5!Títulos_a_imprimir</vt:lpstr>
      <vt:lpstr>OE.3.2!Títulos_a_imprimir</vt:lpstr>
      <vt:lpstr>OE.3.3!Títulos_a_imprimir</vt:lpstr>
      <vt:lpstr>OE.4.1!Títulos_a_imprimir</vt:lpstr>
      <vt:lpstr>OE.4.2!Títulos_a_imprimir</vt:lpstr>
      <vt:lpstr>OE.4.3!Títulos_a_imprimir</vt:lpstr>
      <vt:lpstr>OE.4.4!Títulos_a_imprimir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flatorraca</dc:creator>
  <cp:lastModifiedBy>Segundo R. Velasquez Zegarra</cp:lastModifiedBy>
  <cp:lastPrinted>2015-11-17T13:50:17Z</cp:lastPrinted>
  <dcterms:created xsi:type="dcterms:W3CDTF">2014-02-19T16:14:54Z</dcterms:created>
  <dcterms:modified xsi:type="dcterms:W3CDTF">2015-11-17T16:45:12Z</dcterms:modified>
</cp:coreProperties>
</file>