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6380" windowHeight="8190"/>
  </bookViews>
  <sheets>
    <sheet name="Anexo &quot;01&quot;" sheetId="1" r:id="rId1"/>
  </sheets>
  <definedNames>
    <definedName name="_Fill">#REF!</definedName>
    <definedName name="_Key1">#REF!</definedName>
    <definedName name="_Order1">255</definedName>
    <definedName name="A">#REF!</definedName>
    <definedName name="_xlnm.Print_Area" localSheetId="0">'Anexo "01"'!$A$17:$V$257</definedName>
    <definedName name="_xlnm.Print_Titles" localSheetId="0">'Anexo "01"'!$1:$16</definedName>
  </definedNames>
  <calcPr calcId="152511" fullCalcOnLoad="1" iterateDelta="0"/>
</workbook>
</file>

<file path=xl/calcChain.xml><?xml version="1.0" encoding="utf-8"?>
<calcChain xmlns="http://schemas.openxmlformats.org/spreadsheetml/2006/main">
  <c r="G38" i="1" l="1"/>
  <c r="G56" i="1"/>
  <c r="Q664" i="1"/>
  <c r="J661" i="1"/>
  <c r="N660" i="1"/>
  <c r="I660" i="1"/>
  <c r="H660" i="1"/>
  <c r="M657" i="1"/>
  <c r="L657" i="1"/>
  <c r="C657" i="1"/>
  <c r="B657" i="1"/>
  <c r="T637" i="1"/>
  <c r="R637" i="1"/>
  <c r="Q637" i="1"/>
  <c r="O637" i="1"/>
  <c r="G637" i="1"/>
  <c r="T636" i="1"/>
  <c r="R636" i="1"/>
  <c r="Q636" i="1"/>
  <c r="O636" i="1"/>
  <c r="G636" i="1"/>
  <c r="P636" i="1" s="1"/>
  <c r="I636" i="1"/>
  <c r="S636" i="1" s="1"/>
  <c r="T633" i="1"/>
  <c r="R633" i="1"/>
  <c r="Q633" i="1"/>
  <c r="O633" i="1"/>
  <c r="G633" i="1"/>
  <c r="T632" i="1"/>
  <c r="R632" i="1"/>
  <c r="Q632" i="1"/>
  <c r="O632" i="1"/>
  <c r="G632" i="1"/>
  <c r="T631" i="1"/>
  <c r="R631" i="1"/>
  <c r="Q631" i="1"/>
  <c r="O631" i="1"/>
  <c r="G631" i="1"/>
  <c r="P631" i="1" s="1"/>
  <c r="T628" i="1"/>
  <c r="R628" i="1"/>
  <c r="Q628" i="1"/>
  <c r="U628" i="1" s="1"/>
  <c r="O628" i="1"/>
  <c r="G628" i="1"/>
  <c r="I628" i="1"/>
  <c r="S628" i="1"/>
  <c r="T627" i="1"/>
  <c r="R627" i="1"/>
  <c r="Q627" i="1"/>
  <c r="O627" i="1"/>
  <c r="U627" i="1" s="1"/>
  <c r="G627" i="1"/>
  <c r="T626" i="1"/>
  <c r="R626" i="1"/>
  <c r="Q626" i="1"/>
  <c r="Q657" i="1" s="1"/>
  <c r="O626" i="1"/>
  <c r="G626" i="1"/>
  <c r="I626" i="1"/>
  <c r="S626" i="1"/>
  <c r="T622" i="1"/>
  <c r="R622" i="1"/>
  <c r="Q622" i="1"/>
  <c r="O622" i="1"/>
  <c r="U622" i="1" s="1"/>
  <c r="G622" i="1"/>
  <c r="I622" i="1"/>
  <c r="T621" i="1"/>
  <c r="R621" i="1"/>
  <c r="R657" i="1" s="1"/>
  <c r="K657" i="1" s="1"/>
  <c r="Q621" i="1"/>
  <c r="O621" i="1"/>
  <c r="G621" i="1"/>
  <c r="I621" i="1"/>
  <c r="S621" i="1" s="1"/>
  <c r="T620" i="1"/>
  <c r="R620" i="1"/>
  <c r="Q620" i="1"/>
  <c r="O620" i="1"/>
  <c r="G620" i="1"/>
  <c r="T619" i="1"/>
  <c r="R619" i="1"/>
  <c r="Q619" i="1"/>
  <c r="O619" i="1"/>
  <c r="G619" i="1"/>
  <c r="I619" i="1"/>
  <c r="S619" i="1" s="1"/>
  <c r="T618" i="1"/>
  <c r="R618" i="1"/>
  <c r="Q618" i="1"/>
  <c r="O618" i="1"/>
  <c r="G618" i="1"/>
  <c r="I618" i="1"/>
  <c r="S618" i="1"/>
  <c r="T617" i="1"/>
  <c r="R617" i="1"/>
  <c r="Q617" i="1"/>
  <c r="P617" i="1"/>
  <c r="O617" i="1"/>
  <c r="U617" i="1" s="1"/>
  <c r="G617" i="1"/>
  <c r="I617" i="1"/>
  <c r="S617" i="1" s="1"/>
  <c r="M592" i="1"/>
  <c r="L592" i="1"/>
  <c r="C592" i="1"/>
  <c r="B592" i="1"/>
  <c r="T555" i="1"/>
  <c r="R555" i="1"/>
  <c r="Q555" i="1"/>
  <c r="Q592" i="1" s="1"/>
  <c r="R594" i="1" s="1"/>
  <c r="O555" i="1"/>
  <c r="G555" i="1"/>
  <c r="T550" i="1"/>
  <c r="R550" i="1"/>
  <c r="R592" i="1" s="1"/>
  <c r="Q550" i="1"/>
  <c r="O550" i="1"/>
  <c r="O592" i="1" s="1"/>
  <c r="F592" i="1" s="1"/>
  <c r="G550" i="1"/>
  <c r="P550" i="1"/>
  <c r="P592" i="1" s="1"/>
  <c r="G592" i="1" s="1"/>
  <c r="M527" i="1"/>
  <c r="L527" i="1"/>
  <c r="C527" i="1"/>
  <c r="B527" i="1"/>
  <c r="B660" i="1" s="1"/>
  <c r="T506" i="1"/>
  <c r="R506" i="1"/>
  <c r="Q506" i="1"/>
  <c r="O506" i="1"/>
  <c r="U506" i="1" s="1"/>
  <c r="G506" i="1"/>
  <c r="T503" i="1"/>
  <c r="R503" i="1"/>
  <c r="Q503" i="1"/>
  <c r="O503" i="1"/>
  <c r="G503" i="1"/>
  <c r="I503" i="1"/>
  <c r="S503" i="1" s="1"/>
  <c r="P503" i="1"/>
  <c r="T502" i="1"/>
  <c r="R502" i="1"/>
  <c r="Q502" i="1"/>
  <c r="O502" i="1"/>
  <c r="G502" i="1"/>
  <c r="T501" i="1"/>
  <c r="R501" i="1"/>
  <c r="Q501" i="1"/>
  <c r="O501" i="1"/>
  <c r="G501" i="1"/>
  <c r="T500" i="1"/>
  <c r="R500" i="1"/>
  <c r="U500" i="1" s="1"/>
  <c r="Q500" i="1"/>
  <c r="O500" i="1"/>
  <c r="G500" i="1"/>
  <c r="T499" i="1"/>
  <c r="R499" i="1"/>
  <c r="Q499" i="1"/>
  <c r="O499" i="1"/>
  <c r="G499" i="1"/>
  <c r="I499" i="1" s="1"/>
  <c r="S499" i="1" s="1"/>
  <c r="T496" i="1"/>
  <c r="R496" i="1"/>
  <c r="Q496" i="1"/>
  <c r="O496" i="1"/>
  <c r="U496" i="1" s="1"/>
  <c r="G496" i="1"/>
  <c r="T495" i="1"/>
  <c r="R495" i="1"/>
  <c r="Q495" i="1"/>
  <c r="U495" i="1" s="1"/>
  <c r="O495" i="1"/>
  <c r="G495" i="1"/>
  <c r="I495" i="1" s="1"/>
  <c r="S495" i="1"/>
  <c r="T492" i="1"/>
  <c r="R492" i="1"/>
  <c r="Q492" i="1"/>
  <c r="O492" i="1"/>
  <c r="G492" i="1"/>
  <c r="T491" i="1"/>
  <c r="R491" i="1"/>
  <c r="Q491" i="1"/>
  <c r="O491" i="1"/>
  <c r="G491" i="1"/>
  <c r="I491" i="1" s="1"/>
  <c r="S491" i="1"/>
  <c r="T488" i="1"/>
  <c r="R488" i="1"/>
  <c r="Q488" i="1"/>
  <c r="O488" i="1"/>
  <c r="G488" i="1"/>
  <c r="P488" i="1" s="1"/>
  <c r="T487" i="1"/>
  <c r="R487" i="1"/>
  <c r="Q487" i="1"/>
  <c r="O487" i="1"/>
  <c r="G487" i="1"/>
  <c r="T486" i="1"/>
  <c r="R486" i="1"/>
  <c r="Q486" i="1"/>
  <c r="O486" i="1"/>
  <c r="O527" i="1" s="1"/>
  <c r="F527" i="1" s="1"/>
  <c r="G486" i="1"/>
  <c r="M462" i="1"/>
  <c r="L462" i="1"/>
  <c r="C462" i="1"/>
  <c r="B462" i="1"/>
  <c r="T424" i="1"/>
  <c r="R424" i="1"/>
  <c r="Q424" i="1"/>
  <c r="Q462" i="1" s="1"/>
  <c r="O424" i="1"/>
  <c r="G424" i="1"/>
  <c r="P424" i="1"/>
  <c r="T419" i="1"/>
  <c r="R419" i="1"/>
  <c r="Q419" i="1"/>
  <c r="O419" i="1"/>
  <c r="G419" i="1"/>
  <c r="P419" i="1" s="1"/>
  <c r="T418" i="1"/>
  <c r="R418" i="1"/>
  <c r="Q418" i="1"/>
  <c r="O418" i="1"/>
  <c r="G418" i="1"/>
  <c r="M393" i="1"/>
  <c r="L393" i="1"/>
  <c r="C393" i="1"/>
  <c r="B393" i="1"/>
  <c r="T356" i="1"/>
  <c r="R356" i="1"/>
  <c r="Q356" i="1"/>
  <c r="O356" i="1"/>
  <c r="G356" i="1"/>
  <c r="T353" i="1"/>
  <c r="R353" i="1"/>
  <c r="Q353" i="1"/>
  <c r="O353" i="1"/>
  <c r="G353" i="1"/>
  <c r="I353" i="1"/>
  <c r="T352" i="1"/>
  <c r="R352" i="1"/>
  <c r="Q352" i="1"/>
  <c r="O352" i="1"/>
  <c r="G352" i="1"/>
  <c r="T349" i="1"/>
  <c r="R349" i="1"/>
  <c r="R393" i="1" s="1"/>
  <c r="K393" i="1" s="1"/>
  <c r="Q349" i="1"/>
  <c r="Q393" i="1"/>
  <c r="O349" i="1"/>
  <c r="G349" i="1"/>
  <c r="M326" i="1"/>
  <c r="L326" i="1"/>
  <c r="C326" i="1"/>
  <c r="B326" i="1"/>
  <c r="T296" i="1"/>
  <c r="R296" i="1"/>
  <c r="Q296" i="1"/>
  <c r="O296" i="1"/>
  <c r="G296" i="1"/>
  <c r="I296" i="1" s="1"/>
  <c r="T295" i="1"/>
  <c r="R295" i="1"/>
  <c r="Q295" i="1"/>
  <c r="O295" i="1"/>
  <c r="G295" i="1"/>
  <c r="I295" i="1"/>
  <c r="S295" i="1"/>
  <c r="T294" i="1"/>
  <c r="R294" i="1"/>
  <c r="Q294" i="1"/>
  <c r="O294" i="1"/>
  <c r="G294" i="1"/>
  <c r="P294" i="1" s="1"/>
  <c r="U294" i="1" s="1"/>
  <c r="T293" i="1"/>
  <c r="R293" i="1"/>
  <c r="Q293" i="1"/>
  <c r="O293" i="1"/>
  <c r="G293" i="1"/>
  <c r="I293" i="1"/>
  <c r="S293" i="1" s="1"/>
  <c r="T292" i="1"/>
  <c r="R292" i="1"/>
  <c r="Q292" i="1"/>
  <c r="O292" i="1"/>
  <c r="G292" i="1"/>
  <c r="P292" i="1"/>
  <c r="U292" i="1" s="1"/>
  <c r="T291" i="1"/>
  <c r="R291" i="1"/>
  <c r="Q291" i="1"/>
  <c r="O291" i="1"/>
  <c r="O326" i="1" s="1"/>
  <c r="F326" i="1" s="1"/>
  <c r="G291" i="1"/>
  <c r="I291" i="1" s="1"/>
  <c r="S291" i="1" s="1"/>
  <c r="T290" i="1"/>
  <c r="R290" i="1"/>
  <c r="Q290" i="1"/>
  <c r="O290" i="1"/>
  <c r="G290" i="1"/>
  <c r="P290" i="1" s="1"/>
  <c r="T289" i="1"/>
  <c r="R289" i="1"/>
  <c r="Q289" i="1"/>
  <c r="O289" i="1"/>
  <c r="G289" i="1"/>
  <c r="I289" i="1" s="1"/>
  <c r="S289" i="1" s="1"/>
  <c r="T286" i="1"/>
  <c r="R286" i="1"/>
  <c r="Q286" i="1"/>
  <c r="O286" i="1"/>
  <c r="G286" i="1"/>
  <c r="P286" i="1"/>
  <c r="T282" i="1"/>
  <c r="R282" i="1"/>
  <c r="Q282" i="1"/>
  <c r="O282" i="1"/>
  <c r="G282" i="1"/>
  <c r="I282" i="1" s="1"/>
  <c r="T281" i="1"/>
  <c r="R281" i="1"/>
  <c r="R326" i="1" s="1"/>
  <c r="K326" i="1" s="1"/>
  <c r="Q281" i="1"/>
  <c r="O281" i="1"/>
  <c r="G281" i="1"/>
  <c r="I281" i="1"/>
  <c r="S281" i="1" s="1"/>
  <c r="T280" i="1"/>
  <c r="R280" i="1"/>
  <c r="Q280" i="1"/>
  <c r="O280" i="1"/>
  <c r="G280" i="1"/>
  <c r="M257" i="1"/>
  <c r="L257" i="1"/>
  <c r="C257" i="1"/>
  <c r="B257" i="1"/>
  <c r="T219" i="1"/>
  <c r="R219" i="1"/>
  <c r="Q219" i="1"/>
  <c r="O219" i="1"/>
  <c r="G219" i="1"/>
  <c r="I219" i="1" s="1"/>
  <c r="T218" i="1"/>
  <c r="R218" i="1"/>
  <c r="Q218" i="1"/>
  <c r="O218" i="1"/>
  <c r="G218" i="1"/>
  <c r="P218" i="1"/>
  <c r="T215" i="1"/>
  <c r="R215" i="1"/>
  <c r="Q215" i="1"/>
  <c r="O215" i="1"/>
  <c r="G215" i="1"/>
  <c r="T214" i="1"/>
  <c r="R214" i="1"/>
  <c r="Q214" i="1"/>
  <c r="O214" i="1"/>
  <c r="G214" i="1"/>
  <c r="P214" i="1" s="1"/>
  <c r="T211" i="1"/>
  <c r="R211" i="1"/>
  <c r="Q211" i="1"/>
  <c r="O211" i="1"/>
  <c r="G211" i="1"/>
  <c r="T210" i="1"/>
  <c r="R210" i="1"/>
  <c r="Q210" i="1"/>
  <c r="O210" i="1"/>
  <c r="G210" i="1"/>
  <c r="P210" i="1" s="1"/>
  <c r="T209" i="1"/>
  <c r="R209" i="1"/>
  <c r="Q209" i="1"/>
  <c r="U209" i="1" s="1"/>
  <c r="O209" i="1"/>
  <c r="G209" i="1"/>
  <c r="T206" i="1"/>
  <c r="R206" i="1"/>
  <c r="Q206" i="1"/>
  <c r="O206" i="1"/>
  <c r="G206" i="1"/>
  <c r="P206" i="1"/>
  <c r="U206" i="1" s="1"/>
  <c r="T205" i="1"/>
  <c r="R205" i="1"/>
  <c r="Q205" i="1"/>
  <c r="O205" i="1"/>
  <c r="U205" i="1" s="1"/>
  <c r="G205" i="1"/>
  <c r="T204" i="1"/>
  <c r="R204" i="1"/>
  <c r="Q204" i="1"/>
  <c r="O204" i="1"/>
  <c r="G204" i="1"/>
  <c r="T203" i="1"/>
  <c r="R203" i="1"/>
  <c r="Q203" i="1"/>
  <c r="O203" i="1"/>
  <c r="G203" i="1"/>
  <c r="I203" i="1"/>
  <c r="S203" i="1" s="1"/>
  <c r="T202" i="1"/>
  <c r="R202" i="1"/>
  <c r="Q202" i="1"/>
  <c r="O202" i="1"/>
  <c r="G202" i="1"/>
  <c r="T199" i="1"/>
  <c r="R199" i="1"/>
  <c r="Q199" i="1"/>
  <c r="O199" i="1"/>
  <c r="G199" i="1"/>
  <c r="P199" i="1"/>
  <c r="T198" i="1"/>
  <c r="R198" i="1"/>
  <c r="Q198" i="1"/>
  <c r="O198" i="1"/>
  <c r="G198" i="1"/>
  <c r="T197" i="1"/>
  <c r="R197" i="1"/>
  <c r="Q197" i="1"/>
  <c r="O197" i="1"/>
  <c r="G197" i="1"/>
  <c r="T196" i="1"/>
  <c r="R196" i="1"/>
  <c r="Q196" i="1"/>
  <c r="O196" i="1"/>
  <c r="G196" i="1"/>
  <c r="P196" i="1"/>
  <c r="T195" i="1"/>
  <c r="R195" i="1"/>
  <c r="Q195" i="1"/>
  <c r="O195" i="1"/>
  <c r="G195" i="1"/>
  <c r="I195" i="1" s="1"/>
  <c r="S195" i="1" s="1"/>
  <c r="U195" i="1" s="1"/>
  <c r="T194" i="1"/>
  <c r="R194" i="1"/>
  <c r="Q194" i="1"/>
  <c r="O194" i="1"/>
  <c r="G194" i="1"/>
  <c r="T193" i="1"/>
  <c r="R193" i="1"/>
  <c r="Q193" i="1"/>
  <c r="O193" i="1"/>
  <c r="G193" i="1"/>
  <c r="I193" i="1" s="1"/>
  <c r="S193" i="1" s="1"/>
  <c r="T192" i="1"/>
  <c r="R192" i="1"/>
  <c r="Q192" i="1"/>
  <c r="O192" i="1"/>
  <c r="G192" i="1"/>
  <c r="P192" i="1"/>
  <c r="T189" i="1"/>
  <c r="R189" i="1"/>
  <c r="Q189" i="1"/>
  <c r="O189" i="1"/>
  <c r="G189" i="1"/>
  <c r="T188" i="1"/>
  <c r="R188" i="1"/>
  <c r="Q188" i="1"/>
  <c r="U188" i="1" s="1"/>
  <c r="O188" i="1"/>
  <c r="G188" i="1"/>
  <c r="I188" i="1"/>
  <c r="S188" i="1"/>
  <c r="T187" i="1"/>
  <c r="R187" i="1"/>
  <c r="Q187" i="1"/>
  <c r="O187" i="1"/>
  <c r="G187" i="1"/>
  <c r="I187" i="1" s="1"/>
  <c r="S187" i="1" s="1"/>
  <c r="T186" i="1"/>
  <c r="R186" i="1"/>
  <c r="Q186" i="1"/>
  <c r="O186" i="1"/>
  <c r="G186" i="1"/>
  <c r="P186" i="1" s="1"/>
  <c r="T183" i="1"/>
  <c r="R183" i="1"/>
  <c r="Q183" i="1"/>
  <c r="O183" i="1"/>
  <c r="G183" i="1"/>
  <c r="T182" i="1"/>
  <c r="R182" i="1"/>
  <c r="Q182" i="1"/>
  <c r="O182" i="1"/>
  <c r="G182" i="1"/>
  <c r="T181" i="1"/>
  <c r="R181" i="1"/>
  <c r="Q181" i="1"/>
  <c r="O181" i="1"/>
  <c r="G181" i="1"/>
  <c r="T180" i="1"/>
  <c r="R180" i="1"/>
  <c r="Q180" i="1"/>
  <c r="O180" i="1"/>
  <c r="G180" i="1"/>
  <c r="P180" i="1" s="1"/>
  <c r="T177" i="1"/>
  <c r="R177" i="1"/>
  <c r="Q177" i="1"/>
  <c r="O177" i="1"/>
  <c r="G177" i="1"/>
  <c r="T175" i="1"/>
  <c r="R175" i="1"/>
  <c r="Q175" i="1"/>
  <c r="O175" i="1"/>
  <c r="G175" i="1"/>
  <c r="I175" i="1"/>
  <c r="S175" i="1" s="1"/>
  <c r="T172" i="1"/>
  <c r="R172" i="1"/>
  <c r="Q172" i="1"/>
  <c r="U172" i="1" s="1"/>
  <c r="O172" i="1"/>
  <c r="G172" i="1"/>
  <c r="P172" i="1"/>
  <c r="T171" i="1"/>
  <c r="R171" i="1"/>
  <c r="Q171" i="1"/>
  <c r="O171" i="1"/>
  <c r="G171" i="1"/>
  <c r="P171" i="1" s="1"/>
  <c r="T170" i="1"/>
  <c r="R170" i="1"/>
  <c r="Q170" i="1"/>
  <c r="O170" i="1"/>
  <c r="G170" i="1"/>
  <c r="I170" i="1" s="1"/>
  <c r="S170" i="1" s="1"/>
  <c r="T169" i="1"/>
  <c r="R169" i="1"/>
  <c r="Q169" i="1"/>
  <c r="O169" i="1"/>
  <c r="G169" i="1"/>
  <c r="I169" i="1" s="1"/>
  <c r="S169" i="1" s="1"/>
  <c r="T168" i="1"/>
  <c r="R168" i="1"/>
  <c r="Q168" i="1"/>
  <c r="O168" i="1"/>
  <c r="G168" i="1"/>
  <c r="P168" i="1"/>
  <c r="T164" i="1"/>
  <c r="R164" i="1"/>
  <c r="Q164" i="1"/>
  <c r="P164" i="1"/>
  <c r="O164" i="1"/>
  <c r="G164" i="1"/>
  <c r="I164" i="1"/>
  <c r="S164" i="1" s="1"/>
  <c r="T160" i="1"/>
  <c r="R160" i="1"/>
  <c r="Q160" i="1"/>
  <c r="U160" i="1" s="1"/>
  <c r="O160" i="1"/>
  <c r="G160" i="1"/>
  <c r="T159" i="1"/>
  <c r="R159" i="1"/>
  <c r="Q159" i="1"/>
  <c r="O159" i="1"/>
  <c r="G159" i="1"/>
  <c r="T158" i="1"/>
  <c r="R158" i="1"/>
  <c r="Q158" i="1"/>
  <c r="O158" i="1"/>
  <c r="G158" i="1"/>
  <c r="T157" i="1"/>
  <c r="R157" i="1"/>
  <c r="Q157" i="1"/>
  <c r="O157" i="1"/>
  <c r="G157" i="1"/>
  <c r="T156" i="1"/>
  <c r="R156" i="1"/>
  <c r="Q156" i="1"/>
  <c r="O156" i="1"/>
  <c r="G156" i="1"/>
  <c r="P156" i="1" s="1"/>
  <c r="T153" i="1"/>
  <c r="R153" i="1"/>
  <c r="Q153" i="1"/>
  <c r="O153" i="1"/>
  <c r="G153" i="1"/>
  <c r="I153" i="1"/>
  <c r="S153" i="1"/>
  <c r="T152" i="1"/>
  <c r="R152" i="1"/>
  <c r="Q152" i="1"/>
  <c r="O152" i="1"/>
  <c r="G152" i="1"/>
  <c r="T151" i="1"/>
  <c r="R151" i="1"/>
  <c r="Q151" i="1"/>
  <c r="O151" i="1"/>
  <c r="G151" i="1"/>
  <c r="T150" i="1"/>
  <c r="R150" i="1"/>
  <c r="Q150" i="1"/>
  <c r="P150" i="1"/>
  <c r="O150" i="1"/>
  <c r="I150" i="1"/>
  <c r="S150" i="1" s="1"/>
  <c r="T149" i="1"/>
  <c r="R149" i="1"/>
  <c r="Q149" i="1"/>
  <c r="O149" i="1"/>
  <c r="G149" i="1"/>
  <c r="T146" i="1"/>
  <c r="R146" i="1"/>
  <c r="Q146" i="1"/>
  <c r="O146" i="1"/>
  <c r="G146" i="1"/>
  <c r="P146" i="1" s="1"/>
  <c r="I146" i="1"/>
  <c r="S146" i="1" s="1"/>
  <c r="T145" i="1"/>
  <c r="R145" i="1"/>
  <c r="Q145" i="1"/>
  <c r="O145" i="1"/>
  <c r="G145" i="1"/>
  <c r="I145" i="1" s="1"/>
  <c r="S145" i="1" s="1"/>
  <c r="T142" i="1"/>
  <c r="R142" i="1"/>
  <c r="Q142" i="1"/>
  <c r="O142" i="1"/>
  <c r="G142" i="1"/>
  <c r="I142" i="1"/>
  <c r="S142" i="1" s="1"/>
  <c r="T139" i="1"/>
  <c r="R139" i="1"/>
  <c r="Q139" i="1"/>
  <c r="O139" i="1"/>
  <c r="G139" i="1"/>
  <c r="P139" i="1"/>
  <c r="T136" i="1"/>
  <c r="R136" i="1"/>
  <c r="Q136" i="1"/>
  <c r="O136" i="1"/>
  <c r="G136" i="1"/>
  <c r="I136" i="1" s="1"/>
  <c r="S136" i="1" s="1"/>
  <c r="U136" i="1" s="1"/>
  <c r="T133" i="1"/>
  <c r="R133" i="1"/>
  <c r="Q133" i="1"/>
  <c r="O133" i="1"/>
  <c r="G133" i="1"/>
  <c r="I133" i="1" s="1"/>
  <c r="S133" i="1" s="1"/>
  <c r="T132" i="1"/>
  <c r="R132" i="1"/>
  <c r="Q132" i="1"/>
  <c r="O132" i="1"/>
  <c r="G132" i="1"/>
  <c r="I132" i="1" s="1"/>
  <c r="S132" i="1" s="1"/>
  <c r="T129" i="1"/>
  <c r="R129" i="1"/>
  <c r="Q129" i="1"/>
  <c r="O129" i="1"/>
  <c r="G129" i="1"/>
  <c r="T128" i="1"/>
  <c r="R128" i="1"/>
  <c r="Q128" i="1"/>
  <c r="O128" i="1"/>
  <c r="G128" i="1"/>
  <c r="T127" i="1"/>
  <c r="R127" i="1"/>
  <c r="Q127" i="1"/>
  <c r="O127" i="1"/>
  <c r="G127" i="1"/>
  <c r="I127" i="1" s="1"/>
  <c r="S127" i="1" s="1"/>
  <c r="U127" i="1" s="1"/>
  <c r="T126" i="1"/>
  <c r="R126" i="1"/>
  <c r="Q126" i="1"/>
  <c r="O126" i="1"/>
  <c r="G126" i="1"/>
  <c r="T123" i="1"/>
  <c r="R123" i="1"/>
  <c r="Q123" i="1"/>
  <c r="O123" i="1"/>
  <c r="G123" i="1"/>
  <c r="P123" i="1" s="1"/>
  <c r="T122" i="1"/>
  <c r="R122" i="1"/>
  <c r="Q122" i="1"/>
  <c r="O122" i="1"/>
  <c r="G122" i="1"/>
  <c r="I122" i="1"/>
  <c r="S122" i="1" s="1"/>
  <c r="T119" i="1"/>
  <c r="R119" i="1"/>
  <c r="Q119" i="1"/>
  <c r="O119" i="1"/>
  <c r="U119" i="1" s="1"/>
  <c r="G119" i="1"/>
  <c r="I119" i="1"/>
  <c r="S119" i="1" s="1"/>
  <c r="T118" i="1"/>
  <c r="R118" i="1"/>
  <c r="Q118" i="1"/>
  <c r="O118" i="1"/>
  <c r="G118" i="1"/>
  <c r="I118" i="1"/>
  <c r="S118" i="1"/>
  <c r="T117" i="1"/>
  <c r="R117" i="1"/>
  <c r="Q117" i="1"/>
  <c r="O117" i="1"/>
  <c r="G117" i="1"/>
  <c r="T114" i="1"/>
  <c r="R114" i="1"/>
  <c r="Q114" i="1"/>
  <c r="O114" i="1"/>
  <c r="G114" i="1"/>
  <c r="P114" i="1"/>
  <c r="T113" i="1"/>
  <c r="R113" i="1"/>
  <c r="Q113" i="1"/>
  <c r="O113" i="1"/>
  <c r="G113" i="1"/>
  <c r="P113" i="1" s="1"/>
  <c r="T112" i="1"/>
  <c r="R112" i="1"/>
  <c r="Q112" i="1"/>
  <c r="U112" i="1" s="1"/>
  <c r="O112" i="1"/>
  <c r="G112" i="1"/>
  <c r="I112" i="1"/>
  <c r="S112" i="1"/>
  <c r="T111" i="1"/>
  <c r="R111" i="1"/>
  <c r="Q111" i="1"/>
  <c r="O111" i="1"/>
  <c r="U111" i="1" s="1"/>
  <c r="G111" i="1"/>
  <c r="I111" i="1" s="1"/>
  <c r="S111" i="1" s="1"/>
  <c r="T110" i="1"/>
  <c r="R110" i="1"/>
  <c r="Q110" i="1"/>
  <c r="O110" i="1"/>
  <c r="G110" i="1"/>
  <c r="P110" i="1" s="1"/>
  <c r="T109" i="1"/>
  <c r="R109" i="1"/>
  <c r="Q109" i="1"/>
  <c r="O109" i="1"/>
  <c r="G109" i="1"/>
  <c r="T106" i="1"/>
  <c r="R106" i="1"/>
  <c r="Q106" i="1"/>
  <c r="O106" i="1"/>
  <c r="G106" i="1"/>
  <c r="T105" i="1"/>
  <c r="R105" i="1"/>
  <c r="Q105" i="1"/>
  <c r="O105" i="1"/>
  <c r="G105" i="1"/>
  <c r="I105" i="1" s="1"/>
  <c r="S105" i="1" s="1"/>
  <c r="T104" i="1"/>
  <c r="R104" i="1"/>
  <c r="Q104" i="1"/>
  <c r="O104" i="1"/>
  <c r="G104" i="1"/>
  <c r="I104" i="1"/>
  <c r="S104" i="1" s="1"/>
  <c r="T101" i="1"/>
  <c r="R101" i="1"/>
  <c r="Q101" i="1"/>
  <c r="O101" i="1"/>
  <c r="U101" i="1" s="1"/>
  <c r="G101" i="1"/>
  <c r="P101" i="1"/>
  <c r="T100" i="1"/>
  <c r="R100" i="1"/>
  <c r="Q100" i="1"/>
  <c r="O100" i="1"/>
  <c r="G100" i="1"/>
  <c r="P100" i="1" s="1"/>
  <c r="T99" i="1"/>
  <c r="R99" i="1"/>
  <c r="Q99" i="1"/>
  <c r="O99" i="1"/>
  <c r="G99" i="1"/>
  <c r="I99" i="1" s="1"/>
  <c r="S99" i="1" s="1"/>
  <c r="T97" i="1"/>
  <c r="R97" i="1"/>
  <c r="Q97" i="1"/>
  <c r="O97" i="1"/>
  <c r="G97" i="1"/>
  <c r="P97" i="1" s="1"/>
  <c r="T96" i="1"/>
  <c r="R96" i="1"/>
  <c r="Q96" i="1"/>
  <c r="O96" i="1"/>
  <c r="G96" i="1"/>
  <c r="I96" i="1" s="1"/>
  <c r="T95" i="1"/>
  <c r="R95" i="1"/>
  <c r="Q95" i="1"/>
  <c r="O95" i="1"/>
  <c r="G95" i="1"/>
  <c r="T94" i="1"/>
  <c r="R94" i="1"/>
  <c r="Q94" i="1"/>
  <c r="O94" i="1"/>
  <c r="G94" i="1"/>
  <c r="P94" i="1" s="1"/>
  <c r="T93" i="1"/>
  <c r="R93" i="1"/>
  <c r="Q93" i="1"/>
  <c r="O93" i="1"/>
  <c r="G93" i="1"/>
  <c r="P93" i="1" s="1"/>
  <c r="T92" i="1"/>
  <c r="R92" i="1"/>
  <c r="Q92" i="1"/>
  <c r="O92" i="1"/>
  <c r="G92" i="1"/>
  <c r="T91" i="1"/>
  <c r="R91" i="1"/>
  <c r="Q91" i="1"/>
  <c r="O91" i="1"/>
  <c r="G91" i="1"/>
  <c r="I91" i="1" s="1"/>
  <c r="S91" i="1" s="1"/>
  <c r="T88" i="1"/>
  <c r="R88" i="1"/>
  <c r="Q88" i="1"/>
  <c r="O88" i="1"/>
  <c r="G88" i="1"/>
  <c r="P88" i="1"/>
  <c r="T87" i="1"/>
  <c r="R87" i="1"/>
  <c r="Q87" i="1"/>
  <c r="O87" i="1"/>
  <c r="G87" i="1"/>
  <c r="T86" i="1"/>
  <c r="R86" i="1"/>
  <c r="Q86" i="1"/>
  <c r="O86" i="1"/>
  <c r="G86" i="1"/>
  <c r="P86" i="1"/>
  <c r="T85" i="1"/>
  <c r="R85" i="1"/>
  <c r="Q85" i="1"/>
  <c r="O85" i="1"/>
  <c r="G85" i="1"/>
  <c r="I85" i="1" s="1"/>
  <c r="S85" i="1" s="1"/>
  <c r="T84" i="1"/>
  <c r="R84" i="1"/>
  <c r="Q84" i="1"/>
  <c r="O84" i="1"/>
  <c r="G84" i="1"/>
  <c r="I84" i="1" s="1"/>
  <c r="T83" i="1"/>
  <c r="R83" i="1"/>
  <c r="Q83" i="1"/>
  <c r="O83" i="1"/>
  <c r="G83" i="1"/>
  <c r="T82" i="1"/>
  <c r="R82" i="1"/>
  <c r="Q82" i="1"/>
  <c r="O82" i="1"/>
  <c r="G82" i="1"/>
  <c r="P82" i="1" s="1"/>
  <c r="T79" i="1"/>
  <c r="R79" i="1"/>
  <c r="Q79" i="1"/>
  <c r="O79" i="1"/>
  <c r="G79" i="1"/>
  <c r="T78" i="1"/>
  <c r="R78" i="1"/>
  <c r="Q78" i="1"/>
  <c r="O78" i="1"/>
  <c r="G78" i="1"/>
  <c r="I78" i="1" s="1"/>
  <c r="S78" i="1" s="1"/>
  <c r="T77" i="1"/>
  <c r="R77" i="1"/>
  <c r="Q77" i="1"/>
  <c r="O77" i="1"/>
  <c r="U77" i="1" s="1"/>
  <c r="G77" i="1"/>
  <c r="I77" i="1" s="1"/>
  <c r="S77" i="1" s="1"/>
  <c r="T76" i="1"/>
  <c r="R76" i="1"/>
  <c r="Q76" i="1"/>
  <c r="O76" i="1"/>
  <c r="G76" i="1"/>
  <c r="T75" i="1"/>
  <c r="R75" i="1"/>
  <c r="Q75" i="1"/>
  <c r="O75" i="1"/>
  <c r="G75" i="1"/>
  <c r="I75" i="1" s="1"/>
  <c r="S75" i="1" s="1"/>
  <c r="U75" i="1"/>
  <c r="T74" i="1"/>
  <c r="R74" i="1"/>
  <c r="Q74" i="1"/>
  <c r="O74" i="1"/>
  <c r="U74" i="1" s="1"/>
  <c r="G74" i="1"/>
  <c r="I74" i="1" s="1"/>
  <c r="S74" i="1" s="1"/>
  <c r="T73" i="1"/>
  <c r="R73" i="1"/>
  <c r="Q73" i="1"/>
  <c r="O73" i="1"/>
  <c r="G73" i="1"/>
  <c r="T70" i="1"/>
  <c r="R70" i="1"/>
  <c r="Q70" i="1"/>
  <c r="O70" i="1"/>
  <c r="G70" i="1"/>
  <c r="P70" i="1" s="1"/>
  <c r="T69" i="1"/>
  <c r="R69" i="1"/>
  <c r="Q69" i="1"/>
  <c r="O69" i="1"/>
  <c r="G69" i="1"/>
  <c r="T66" i="1"/>
  <c r="R66" i="1"/>
  <c r="Q66" i="1"/>
  <c r="O66" i="1"/>
  <c r="G66" i="1"/>
  <c r="I66" i="1"/>
  <c r="S66" i="1" s="1"/>
  <c r="T65" i="1"/>
  <c r="R65" i="1"/>
  <c r="Q65" i="1"/>
  <c r="O65" i="1"/>
  <c r="G65" i="1"/>
  <c r="T64" i="1"/>
  <c r="R64" i="1"/>
  <c r="Q64" i="1"/>
  <c r="O64" i="1"/>
  <c r="G64" i="1"/>
  <c r="T63" i="1"/>
  <c r="R63" i="1"/>
  <c r="Q63" i="1"/>
  <c r="O63" i="1"/>
  <c r="G63" i="1"/>
  <c r="I63" i="1" s="1"/>
  <c r="S63" i="1" s="1"/>
  <c r="T62" i="1"/>
  <c r="R62" i="1"/>
  <c r="Q62" i="1"/>
  <c r="O62" i="1"/>
  <c r="G62" i="1"/>
  <c r="T56" i="1"/>
  <c r="R56" i="1"/>
  <c r="U56" i="1" s="1"/>
  <c r="Q56" i="1"/>
  <c r="P56" i="1"/>
  <c r="O56" i="1"/>
  <c r="I56" i="1"/>
  <c r="S56" i="1" s="1"/>
  <c r="T54" i="1"/>
  <c r="R54" i="1"/>
  <c r="Q54" i="1"/>
  <c r="O54" i="1"/>
  <c r="G54" i="1"/>
  <c r="I54" i="1"/>
  <c r="S54" i="1"/>
  <c r="T53" i="1"/>
  <c r="R53" i="1"/>
  <c r="Q53" i="1"/>
  <c r="O53" i="1"/>
  <c r="G53" i="1"/>
  <c r="I53" i="1" s="1"/>
  <c r="S53" i="1" s="1"/>
  <c r="U53" i="1" s="1"/>
  <c r="T49" i="1"/>
  <c r="R49" i="1"/>
  <c r="Q49" i="1"/>
  <c r="O49" i="1"/>
  <c r="G49" i="1"/>
  <c r="T48" i="1"/>
  <c r="R48" i="1"/>
  <c r="Q48" i="1"/>
  <c r="U48" i="1" s="1"/>
  <c r="O48" i="1"/>
  <c r="G48" i="1"/>
  <c r="T45" i="1"/>
  <c r="R45" i="1"/>
  <c r="Q45" i="1"/>
  <c r="O45" i="1"/>
  <c r="G45" i="1"/>
  <c r="T44" i="1"/>
  <c r="R44" i="1"/>
  <c r="Q44" i="1"/>
  <c r="O44" i="1"/>
  <c r="G44" i="1"/>
  <c r="T43" i="1"/>
  <c r="R43" i="1"/>
  <c r="Q43" i="1"/>
  <c r="O43" i="1"/>
  <c r="G43" i="1"/>
  <c r="P43" i="1"/>
  <c r="T40" i="1"/>
  <c r="R40" i="1"/>
  <c r="Q40" i="1"/>
  <c r="O40" i="1"/>
  <c r="G40" i="1"/>
  <c r="P40" i="1" s="1"/>
  <c r="T39" i="1"/>
  <c r="R39" i="1"/>
  <c r="Q39" i="1"/>
  <c r="O39" i="1"/>
  <c r="G39" i="1"/>
  <c r="I39" i="1"/>
  <c r="S39" i="1" s="1"/>
  <c r="T38" i="1"/>
  <c r="R38" i="1"/>
  <c r="Q38" i="1"/>
  <c r="U38" i="1" s="1"/>
  <c r="O38" i="1"/>
  <c r="I38" i="1"/>
  <c r="S38" i="1"/>
  <c r="T37" i="1"/>
  <c r="T257" i="1" s="1"/>
  <c r="R37" i="1"/>
  <c r="Q37" i="1"/>
  <c r="O37" i="1"/>
  <c r="G37" i="1"/>
  <c r="T34" i="1"/>
  <c r="R34" i="1"/>
  <c r="Q34" i="1"/>
  <c r="O34" i="1"/>
  <c r="G34" i="1"/>
  <c r="T31" i="1"/>
  <c r="R31" i="1"/>
  <c r="R257" i="1" s="1"/>
  <c r="Q31" i="1"/>
  <c r="O31" i="1"/>
  <c r="G31" i="1"/>
  <c r="I31" i="1"/>
  <c r="S31" i="1" s="1"/>
  <c r="T30" i="1"/>
  <c r="R30" i="1"/>
  <c r="Q30" i="1"/>
  <c r="O30" i="1"/>
  <c r="G30" i="1"/>
  <c r="I30" i="1"/>
  <c r="S30" i="1"/>
  <c r="T27" i="1"/>
  <c r="R27" i="1"/>
  <c r="Q27" i="1"/>
  <c r="O27" i="1"/>
  <c r="G27" i="1"/>
  <c r="I27" i="1" s="1"/>
  <c r="S27" i="1" s="1"/>
  <c r="T26" i="1"/>
  <c r="R26" i="1"/>
  <c r="Q26" i="1"/>
  <c r="O26" i="1"/>
  <c r="G26" i="1"/>
  <c r="T25" i="1"/>
  <c r="R25" i="1"/>
  <c r="Q25" i="1"/>
  <c r="O25" i="1"/>
  <c r="G25" i="1"/>
  <c r="I25" i="1"/>
  <c r="S25" i="1"/>
  <c r="P25" i="1"/>
  <c r="T24" i="1"/>
  <c r="R24" i="1"/>
  <c r="Q24" i="1"/>
  <c r="U24" i="1" s="1"/>
  <c r="O24" i="1"/>
  <c r="G24" i="1"/>
  <c r="I24" i="1"/>
  <c r="S24" i="1"/>
  <c r="T23" i="1"/>
  <c r="R23" i="1"/>
  <c r="Q23" i="1"/>
  <c r="O23" i="1"/>
  <c r="O257" i="1" s="1"/>
  <c r="G23" i="1"/>
  <c r="I23" i="1" s="1"/>
  <c r="S23" i="1" s="1"/>
  <c r="T22" i="1"/>
  <c r="R22" i="1"/>
  <c r="Q22" i="1"/>
  <c r="O22" i="1"/>
  <c r="G22" i="1"/>
  <c r="T19" i="1"/>
  <c r="R19" i="1"/>
  <c r="Q19" i="1"/>
  <c r="O19" i="1"/>
  <c r="G19" i="1"/>
  <c r="P112" i="1"/>
  <c r="P291" i="1"/>
  <c r="P30" i="1"/>
  <c r="P99" i="1"/>
  <c r="P119" i="1"/>
  <c r="P195" i="1"/>
  <c r="P491" i="1"/>
  <c r="U491" i="1" s="1"/>
  <c r="P619" i="1"/>
  <c r="P53" i="1"/>
  <c r="P91" i="1"/>
  <c r="P104" i="1"/>
  <c r="P111" i="1"/>
  <c r="P122" i="1"/>
  <c r="U122" i="1" s="1"/>
  <c r="P127" i="1"/>
  <c r="P142" i="1"/>
  <c r="U142" i="1"/>
  <c r="P153" i="1"/>
  <c r="U153" i="1" s="1"/>
  <c r="P170" i="1"/>
  <c r="U170" i="1" s="1"/>
  <c r="P188" i="1"/>
  <c r="I199" i="1"/>
  <c r="S199" i="1" s="1"/>
  <c r="U199" i="1" s="1"/>
  <c r="P203" i="1"/>
  <c r="P295" i="1"/>
  <c r="U295" i="1"/>
  <c r="P626" i="1"/>
  <c r="U626" i="1" s="1"/>
  <c r="P75" i="1"/>
  <c r="I101" i="1"/>
  <c r="S101" i="1"/>
  <c r="I114" i="1"/>
  <c r="S114" i="1" s="1"/>
  <c r="P136" i="1"/>
  <c r="P175" i="1"/>
  <c r="U175" i="1" s="1"/>
  <c r="P281" i="1"/>
  <c r="U281" i="1" s="1"/>
  <c r="P293" i="1"/>
  <c r="U293" i="1"/>
  <c r="T527" i="1"/>
  <c r="I70" i="1"/>
  <c r="S70" i="1" s="1"/>
  <c r="I100" i="1"/>
  <c r="S100" i="1"/>
  <c r="I172" i="1"/>
  <c r="S172" i="1" s="1"/>
  <c r="P31" i="1"/>
  <c r="I40" i="1"/>
  <c r="S40" i="1" s="1"/>
  <c r="P66" i="1"/>
  <c r="U66" i="1" s="1"/>
  <c r="P74" i="1"/>
  <c r="P105" i="1"/>
  <c r="U105" i="1" s="1"/>
  <c r="I113" i="1"/>
  <c r="S113" i="1"/>
  <c r="U113" i="1" s="1"/>
  <c r="I196" i="1"/>
  <c r="S196" i="1" s="1"/>
  <c r="U196" i="1" s="1"/>
  <c r="T592" i="1"/>
  <c r="I110" i="1"/>
  <c r="S110" i="1"/>
  <c r="I139" i="1"/>
  <c r="S139" i="1"/>
  <c r="I206" i="1"/>
  <c r="S206" i="1"/>
  <c r="I210" i="1"/>
  <c r="S210" i="1"/>
  <c r="I214" i="1"/>
  <c r="S214" i="1" s="1"/>
  <c r="U214" i="1" s="1"/>
  <c r="I218" i="1"/>
  <c r="S218" i="1" s="1"/>
  <c r="U218" i="1"/>
  <c r="I424" i="1"/>
  <c r="S424" i="1" s="1"/>
  <c r="P38" i="1"/>
  <c r="P63" i="1"/>
  <c r="P118" i="1"/>
  <c r="U118" i="1" s="1"/>
  <c r="P96" i="1"/>
  <c r="S96" i="1"/>
  <c r="P37" i="1"/>
  <c r="I37" i="1"/>
  <c r="S37" i="1"/>
  <c r="P65" i="1"/>
  <c r="I65" i="1"/>
  <c r="S65" i="1" s="1"/>
  <c r="P87" i="1"/>
  <c r="I87" i="1"/>
  <c r="S87" i="1" s="1"/>
  <c r="I126" i="1"/>
  <c r="S126" i="1"/>
  <c r="U126" i="1" s="1"/>
  <c r="P126" i="1"/>
  <c r="P23" i="1"/>
  <c r="I43" i="1"/>
  <c r="S43" i="1" s="1"/>
  <c r="I82" i="1"/>
  <c r="S82" i="1"/>
  <c r="U82" i="1" s="1"/>
  <c r="S84" i="1"/>
  <c r="P84" i="1"/>
  <c r="U97" i="1"/>
  <c r="I97" i="1"/>
  <c r="S97" i="1"/>
  <c r="P49" i="1"/>
  <c r="I49" i="1"/>
  <c r="S49" i="1" s="1"/>
  <c r="P73" i="1"/>
  <c r="I73" i="1"/>
  <c r="S73" i="1" s="1"/>
  <c r="U73" i="1" s="1"/>
  <c r="P83" i="1"/>
  <c r="I83" i="1"/>
  <c r="S83" i="1" s="1"/>
  <c r="U83" i="1" s="1"/>
  <c r="I93" i="1"/>
  <c r="S93" i="1"/>
  <c r="P492" i="1"/>
  <c r="U492" i="1" s="1"/>
  <c r="I492" i="1"/>
  <c r="S492" i="1"/>
  <c r="P506" i="1"/>
  <c r="I506" i="1"/>
  <c r="S506" i="1" s="1"/>
  <c r="P618" i="1"/>
  <c r="P657" i="1" s="1"/>
  <c r="G657" i="1" s="1"/>
  <c r="I123" i="1"/>
  <c r="S123" i="1" s="1"/>
  <c r="U123" i="1" s="1"/>
  <c r="I186" i="1"/>
  <c r="S186" i="1"/>
  <c r="P187" i="1"/>
  <c r="P209" i="1"/>
  <c r="I209" i="1"/>
  <c r="S209" i="1"/>
  <c r="P353" i="1"/>
  <c r="S353" i="1"/>
  <c r="P486" i="1"/>
  <c r="I486" i="1"/>
  <c r="S486" i="1"/>
  <c r="P500" i="1"/>
  <c r="I500" i="1"/>
  <c r="S500" i="1"/>
  <c r="S622" i="1"/>
  <c r="P622" i="1"/>
  <c r="I637" i="1"/>
  <c r="S637" i="1"/>
  <c r="U637" i="1" s="1"/>
  <c r="P637" i="1"/>
  <c r="P215" i="1"/>
  <c r="I215" i="1"/>
  <c r="S215" i="1"/>
  <c r="U215" i="1" s="1"/>
  <c r="I631" i="1"/>
  <c r="S631" i="1" s="1"/>
  <c r="U631" i="1" s="1"/>
  <c r="I156" i="1"/>
  <c r="S156" i="1"/>
  <c r="U156" i="1" s="1"/>
  <c r="I180" i="1"/>
  <c r="S180" i="1"/>
  <c r="I290" i="1"/>
  <c r="S290" i="1" s="1"/>
  <c r="P132" i="1"/>
  <c r="U132" i="1"/>
  <c r="I168" i="1"/>
  <c r="S168" i="1" s="1"/>
  <c r="P193" i="1"/>
  <c r="P282" i="1"/>
  <c r="U282" i="1" s="1"/>
  <c r="S282" i="1"/>
  <c r="I550" i="1"/>
  <c r="S550" i="1" s="1"/>
  <c r="I205" i="1"/>
  <c r="S205" i="1"/>
  <c r="P205" i="1"/>
  <c r="I211" i="1"/>
  <c r="S211" i="1"/>
  <c r="P211" i="1"/>
  <c r="U211" i="1" s="1"/>
  <c r="S219" i="1"/>
  <c r="P219" i="1"/>
  <c r="U219" i="1"/>
  <c r="I280" i="1"/>
  <c r="S280" i="1" s="1"/>
  <c r="S326" i="1" s="1"/>
  <c r="P280" i="1"/>
  <c r="I286" i="1"/>
  <c r="S286" i="1" s="1"/>
  <c r="U286" i="1" s="1"/>
  <c r="I292" i="1"/>
  <c r="S292" i="1"/>
  <c r="S296" i="1"/>
  <c r="I349" i="1"/>
  <c r="S349" i="1"/>
  <c r="P349" i="1"/>
  <c r="U349" i="1" s="1"/>
  <c r="O462" i="1"/>
  <c r="F462" i="1"/>
  <c r="P620" i="1"/>
  <c r="I620" i="1"/>
  <c r="S620" i="1" s="1"/>
  <c r="P627" i="1"/>
  <c r="I627" i="1"/>
  <c r="S627" i="1"/>
  <c r="P633" i="1"/>
  <c r="I633" i="1"/>
  <c r="S633" i="1"/>
  <c r="T393" i="1"/>
  <c r="I488" i="1"/>
  <c r="S488" i="1" s="1"/>
  <c r="U488" i="1" s="1"/>
  <c r="I496" i="1"/>
  <c r="S496" i="1" s="1"/>
  <c r="P496" i="1"/>
  <c r="I502" i="1"/>
  <c r="S502" i="1" s="1"/>
  <c r="U502" i="1" s="1"/>
  <c r="P502" i="1"/>
  <c r="U486" i="1"/>
  <c r="P418" i="1"/>
  <c r="I418" i="1"/>
  <c r="S418" i="1"/>
  <c r="P77" i="1"/>
  <c r="P621" i="1"/>
  <c r="U621" i="1"/>
  <c r="P628" i="1"/>
  <c r="P64" i="1"/>
  <c r="I64" i="1"/>
  <c r="S64" i="1"/>
  <c r="U64" i="1" s="1"/>
  <c r="I117" i="1"/>
  <c r="S117" i="1" s="1"/>
  <c r="U117" i="1" s="1"/>
  <c r="P117" i="1"/>
  <c r="P128" i="1"/>
  <c r="I128" i="1"/>
  <c r="S128" i="1" s="1"/>
  <c r="I204" i="1"/>
  <c r="S204" i="1"/>
  <c r="P204" i="1"/>
  <c r="P499" i="1"/>
  <c r="P160" i="1"/>
  <c r="I160" i="1"/>
  <c r="S160" i="1"/>
  <c r="P183" i="1"/>
  <c r="U183" i="1" s="1"/>
  <c r="I183" i="1"/>
  <c r="S183" i="1"/>
  <c r="P352" i="1"/>
  <c r="P393" i="1" s="1"/>
  <c r="G393" i="1" s="1"/>
  <c r="I352" i="1"/>
  <c r="S352" i="1" s="1"/>
  <c r="U636" i="1"/>
  <c r="I88" i="1"/>
  <c r="S88" i="1" s="1"/>
  <c r="U88" i="1" s="1"/>
  <c r="P27" i="1"/>
  <c r="U27" i="1"/>
  <c r="P95" i="1"/>
  <c r="U95" i="1" s="1"/>
  <c r="I95" i="1"/>
  <c r="S95" i="1"/>
  <c r="P555" i="1"/>
  <c r="I555" i="1"/>
  <c r="S555" i="1" s="1"/>
  <c r="U555" i="1" s="1"/>
  <c r="I86" i="1"/>
  <c r="S86" i="1"/>
  <c r="U86" i="1" s="1"/>
  <c r="P39" i="1"/>
  <c r="U91" i="1"/>
  <c r="P356" i="1"/>
  <c r="U356" i="1" s="1"/>
  <c r="I356" i="1"/>
  <c r="S356" i="1" s="1"/>
  <c r="I632" i="1"/>
  <c r="S632" i="1"/>
  <c r="U632" i="1" s="1"/>
  <c r="P632" i="1"/>
  <c r="I294" i="1"/>
  <c r="S294" i="1"/>
  <c r="I192" i="1"/>
  <c r="S192" i="1" s="1"/>
  <c r="P54" i="1"/>
  <c r="U54" i="1" s="1"/>
  <c r="I159" i="1"/>
  <c r="S159" i="1"/>
  <c r="P159" i="1"/>
  <c r="U159" i="1" s="1"/>
  <c r="I487" i="1"/>
  <c r="S487" i="1" s="1"/>
  <c r="P487" i="1"/>
  <c r="U40" i="1"/>
  <c r="R527" i="1"/>
  <c r="K527" i="1" s="1"/>
  <c r="R462" i="1"/>
  <c r="K462" i="1"/>
  <c r="Q326" i="1"/>
  <c r="K592" i="1"/>
  <c r="M660" i="1"/>
  <c r="L660" i="1"/>
  <c r="P145" i="1"/>
  <c r="U145" i="1" s="1"/>
  <c r="P129" i="1"/>
  <c r="U129" i="1" s="1"/>
  <c r="I129" i="1"/>
  <c r="S129" i="1"/>
  <c r="S592" i="1"/>
  <c r="P48" i="1"/>
  <c r="I48" i="1"/>
  <c r="S48" i="1" s="1"/>
  <c r="U65" i="1"/>
  <c r="U290" i="1"/>
  <c r="U418" i="1"/>
  <c r="U353" i="1"/>
  <c r="U25" i="1"/>
  <c r="P92" i="1"/>
  <c r="I92" i="1"/>
  <c r="S92" i="1"/>
  <c r="U92" i="1" s="1"/>
  <c r="P149" i="1"/>
  <c r="I149" i="1"/>
  <c r="S149" i="1"/>
  <c r="I151" i="1"/>
  <c r="S151" i="1"/>
  <c r="P151" i="1"/>
  <c r="U151" i="1" s="1"/>
  <c r="U204" i="1"/>
  <c r="I19" i="1"/>
  <c r="S19" i="1" s="1"/>
  <c r="P19" i="1"/>
  <c r="P76" i="1"/>
  <c r="U76" i="1" s="1"/>
  <c r="I76" i="1"/>
  <c r="S76" i="1" s="1"/>
  <c r="I152" i="1"/>
  <c r="S152" i="1" s="1"/>
  <c r="U152" i="1" s="1"/>
  <c r="P152" i="1"/>
  <c r="P177" i="1"/>
  <c r="U177" i="1" s="1"/>
  <c r="I177" i="1"/>
  <c r="S177" i="1" s="1"/>
  <c r="U186" i="1"/>
  <c r="U84" i="1"/>
  <c r="P34" i="1"/>
  <c r="U34" i="1" s="1"/>
  <c r="I34" i="1"/>
  <c r="S34" i="1"/>
  <c r="U43" i="1"/>
  <c r="U63" i="1"/>
  <c r="U104" i="1"/>
  <c r="U110" i="1"/>
  <c r="U114" i="1"/>
  <c r="U139" i="1"/>
  <c r="I182" i="1"/>
  <c r="S182" i="1"/>
  <c r="P182" i="1"/>
  <c r="U182" i="1" s="1"/>
  <c r="P197" i="1"/>
  <c r="I197" i="1"/>
  <c r="S197" i="1"/>
  <c r="P202" i="1"/>
  <c r="I202" i="1"/>
  <c r="S202" i="1"/>
  <c r="U202" i="1" s="1"/>
  <c r="U633" i="1"/>
  <c r="P24" i="1"/>
  <c r="U30" i="1"/>
  <c r="U39" i="1"/>
  <c r="I45" i="1"/>
  <c r="S45" i="1"/>
  <c r="P45" i="1"/>
  <c r="U45" i="1" s="1"/>
  <c r="U93" i="1"/>
  <c r="U96" i="1"/>
  <c r="U150" i="1"/>
  <c r="U168" i="1"/>
  <c r="I198" i="1"/>
  <c r="S198" i="1" s="1"/>
  <c r="P198" i="1"/>
  <c r="U198" i="1"/>
  <c r="O657" i="1"/>
  <c r="F657" i="1" s="1"/>
  <c r="U619" i="1"/>
  <c r="U187" i="1"/>
  <c r="O393" i="1"/>
  <c r="F393" i="1" s="1"/>
  <c r="R395" i="1"/>
  <c r="J393" i="1"/>
  <c r="U618" i="1"/>
  <c r="T657" i="1"/>
  <c r="P495" i="1"/>
  <c r="S657" i="1" l="1"/>
  <c r="U620" i="1"/>
  <c r="U657" i="1" s="1"/>
  <c r="P462" i="1"/>
  <c r="G462" i="1" s="1"/>
  <c r="U499" i="1"/>
  <c r="U192" i="1"/>
  <c r="R660" i="1"/>
  <c r="K257" i="1"/>
  <c r="K660" i="1" s="1"/>
  <c r="J462" i="1"/>
  <c r="R464" i="1"/>
  <c r="R328" i="1"/>
  <c r="J326" i="1"/>
  <c r="S393" i="1"/>
  <c r="U197" i="1"/>
  <c r="U19" i="1"/>
  <c r="U128" i="1"/>
  <c r="U171" i="1"/>
  <c r="O660" i="1"/>
  <c r="F257" i="1"/>
  <c r="F660" i="1" s="1"/>
  <c r="J657" i="1"/>
  <c r="R658" i="1"/>
  <c r="U280" i="1"/>
  <c r="U149" i="1"/>
  <c r="I44" i="1"/>
  <c r="S44" i="1" s="1"/>
  <c r="P44" i="1"/>
  <c r="U44" i="1" s="1"/>
  <c r="U189" i="1"/>
  <c r="J592" i="1"/>
  <c r="U291" i="1"/>
  <c r="U550" i="1"/>
  <c r="U592" i="1" s="1"/>
  <c r="U487" i="1"/>
  <c r="U352" i="1"/>
  <c r="U393" i="1" s="1"/>
  <c r="P78" i="1"/>
  <c r="U78" i="1" s="1"/>
  <c r="U23" i="1"/>
  <c r="P289" i="1"/>
  <c r="I79" i="1"/>
  <c r="S79" i="1" s="1"/>
  <c r="P79" i="1"/>
  <c r="U79" i="1" s="1"/>
  <c r="U99" i="1"/>
  <c r="U146" i="1"/>
  <c r="U164" i="1"/>
  <c r="Q527" i="1"/>
  <c r="I69" i="1"/>
  <c r="S69" i="1" s="1"/>
  <c r="P69" i="1"/>
  <c r="U31" i="1"/>
  <c r="I419" i="1"/>
  <c r="S419" i="1" s="1"/>
  <c r="S462" i="1" s="1"/>
  <c r="U424" i="1"/>
  <c r="P296" i="1"/>
  <c r="U296" i="1" s="1"/>
  <c r="P169" i="1"/>
  <c r="U169" i="1" s="1"/>
  <c r="I94" i="1"/>
  <c r="S94" i="1" s="1"/>
  <c r="U94" i="1" s="1"/>
  <c r="U203" i="1"/>
  <c r="P22" i="1"/>
  <c r="I22" i="1"/>
  <c r="S22" i="1" s="1"/>
  <c r="I62" i="1"/>
  <c r="S62" i="1" s="1"/>
  <c r="S257" i="1" s="1"/>
  <c r="S660" i="1" s="1"/>
  <c r="P62" i="1"/>
  <c r="U70" i="1"/>
  <c r="P85" i="1"/>
  <c r="U85" i="1" s="1"/>
  <c r="U100" i="1"/>
  <c r="U180" i="1"/>
  <c r="T326" i="1"/>
  <c r="I501" i="1"/>
  <c r="S501" i="1" s="1"/>
  <c r="S527" i="1" s="1"/>
  <c r="P501" i="1"/>
  <c r="U501" i="1" s="1"/>
  <c r="U37" i="1"/>
  <c r="U49" i="1"/>
  <c r="P109" i="1"/>
  <c r="I109" i="1"/>
  <c r="S109" i="1" s="1"/>
  <c r="U109" i="1" s="1"/>
  <c r="I158" i="1"/>
  <c r="S158" i="1" s="1"/>
  <c r="P158" i="1"/>
  <c r="U158" i="1" s="1"/>
  <c r="Q257" i="1"/>
  <c r="P26" i="1"/>
  <c r="U26" i="1" s="1"/>
  <c r="I26" i="1"/>
  <c r="S26" i="1" s="1"/>
  <c r="U87" i="1"/>
  <c r="P106" i="1"/>
  <c r="U106" i="1" s="1"/>
  <c r="I106" i="1"/>
  <c r="S106" i="1" s="1"/>
  <c r="I157" i="1"/>
  <c r="S157" i="1" s="1"/>
  <c r="P157" i="1"/>
  <c r="U157" i="1" s="1"/>
  <c r="I181" i="1"/>
  <c r="S181" i="1" s="1"/>
  <c r="P181" i="1"/>
  <c r="U181" i="1" s="1"/>
  <c r="I189" i="1"/>
  <c r="S189" i="1" s="1"/>
  <c r="P189" i="1"/>
  <c r="U193" i="1"/>
  <c r="I194" i="1"/>
  <c r="S194" i="1" s="1"/>
  <c r="P194" i="1"/>
  <c r="U210" i="1"/>
  <c r="C660" i="1"/>
  <c r="T462" i="1"/>
  <c r="T660" i="1" s="1"/>
  <c r="U503" i="1"/>
  <c r="P133" i="1"/>
  <c r="U133" i="1" s="1"/>
  <c r="I171" i="1"/>
  <c r="S171" i="1" s="1"/>
  <c r="J527" i="1" l="1"/>
  <c r="R529" i="1"/>
  <c r="P326" i="1"/>
  <c r="G326" i="1" s="1"/>
  <c r="U289" i="1"/>
  <c r="U326" i="1" s="1"/>
  <c r="J257" i="1"/>
  <c r="J660" i="1" s="1"/>
  <c r="Q260" i="1"/>
  <c r="R259" i="1"/>
  <c r="Q660" i="1"/>
  <c r="Q662" i="1" s="1"/>
  <c r="P257" i="1"/>
  <c r="U22" i="1"/>
  <c r="U527" i="1"/>
  <c r="U419" i="1"/>
  <c r="U462" i="1" s="1"/>
  <c r="U194" i="1"/>
  <c r="U62" i="1"/>
  <c r="U69" i="1"/>
  <c r="U257" i="1" s="1"/>
  <c r="U660" i="1" s="1"/>
  <c r="P527" i="1"/>
  <c r="G527" i="1" s="1"/>
  <c r="U662" i="1" l="1"/>
  <c r="J662" i="1"/>
  <c r="P660" i="1"/>
  <c r="G257" i="1"/>
  <c r="G660" i="1" s="1"/>
</calcChain>
</file>

<file path=xl/sharedStrings.xml><?xml version="1.0" encoding="utf-8"?>
<sst xmlns="http://schemas.openxmlformats.org/spreadsheetml/2006/main" count="1129" uniqueCount="312">
  <si>
    <t>GOBIERNO REGIONAL CAJAMARCA</t>
  </si>
  <si>
    <t>A  N  E  X  O        " 0 1 "</t>
  </si>
  <si>
    <t>FORMULARIO   :    A</t>
  </si>
  <si>
    <t>PRESUPUESTO ANALITICO DE PLAZAS DEL EMPLEADO NOMBRADO</t>
  </si>
  <si>
    <t>SECTOR                       :  GOGIERNO REGIONAL CAJAMARCA</t>
  </si>
  <si>
    <t>PLIEGO                         :  445 – GOBIERNO REGIONAL CAJAMARCA</t>
  </si>
  <si>
    <t xml:space="preserve">ENTIDAD                       :   SEDE GOBIERNO REGIONAL CAJAMARCA   </t>
  </si>
  <si>
    <t xml:space="preserve">PERIODO PREVIO </t>
  </si>
  <si>
    <t>DENOMINACION DEL CARGO</t>
  </si>
  <si>
    <t>NIVEL</t>
  </si>
  <si>
    <t>CANTIDAD DE</t>
  </si>
  <si>
    <t>NRO.</t>
  </si>
  <si>
    <t xml:space="preserve">   REMUNERACIONES Y/O BONIFICAC. MENSUAL</t>
  </si>
  <si>
    <t>PERIODO</t>
  </si>
  <si>
    <t xml:space="preserve">   REMUNERACIONES Y/O BONIFICAC. ANUAL</t>
  </si>
  <si>
    <t>PREVISTO EN EL</t>
  </si>
  <si>
    <t>O</t>
  </si>
  <si>
    <t>PLAZAS</t>
  </si>
  <si>
    <t>DE</t>
  </si>
  <si>
    <t>EN</t>
  </si>
  <si>
    <t>PERMANENTES</t>
  </si>
  <si>
    <t>OCACIONAL</t>
  </si>
  <si>
    <t>TOTAL</t>
  </si>
  <si>
    <t>CAP</t>
  </si>
  <si>
    <t>CATEG.</t>
  </si>
  <si>
    <t>PPTDAS</t>
  </si>
  <si>
    <t>OCUP.</t>
  </si>
  <si>
    <t>PLAZA</t>
  </si>
  <si>
    <t>REMUN.</t>
  </si>
  <si>
    <t>BONIFIC.</t>
  </si>
  <si>
    <t>REMUNER.</t>
  </si>
  <si>
    <t>INCENT.</t>
  </si>
  <si>
    <t>PPTDAS.</t>
  </si>
  <si>
    <t>OCUPAD.</t>
  </si>
  <si>
    <t>MESES</t>
  </si>
  <si>
    <t>CARGA</t>
  </si>
  <si>
    <t>ESCOLAR.</t>
  </si>
  <si>
    <t>ANUAL</t>
  </si>
  <si>
    <t>PRINCIPAL</t>
  </si>
  <si>
    <t>PERMAN.</t>
  </si>
  <si>
    <t>IMPBLE.</t>
  </si>
  <si>
    <t>LABORAL</t>
  </si>
  <si>
    <t>SOCIAL</t>
  </si>
  <si>
    <t>AGUINALDO</t>
  </si>
  <si>
    <t>CONSEJO REGIONAL</t>
  </si>
  <si>
    <t>SECRETARIA DEL CONSEJO REGIONAL</t>
  </si>
  <si>
    <t>F-4</t>
  </si>
  <si>
    <t>DIRECT. SIST. ADMINIST. III</t>
  </si>
  <si>
    <t xml:space="preserve">PRESIDENCIA REGIONAL </t>
  </si>
  <si>
    <t>F-8</t>
  </si>
  <si>
    <t>F-6</t>
  </si>
  <si>
    <t>ASESOR III</t>
  </si>
  <si>
    <t>ASESOR II</t>
  </si>
  <si>
    <t>STA</t>
  </si>
  <si>
    <t xml:space="preserve">SECRETARIA  V  </t>
  </si>
  <si>
    <t>STB</t>
  </si>
  <si>
    <t>SECRETARIA  V</t>
  </si>
  <si>
    <t>CHOFER III</t>
  </si>
  <si>
    <t>SAA</t>
  </si>
  <si>
    <t xml:space="preserve">VICEPRESIDENCIA REGIONAL </t>
  </si>
  <si>
    <t>F-7</t>
  </si>
  <si>
    <t>DIRECCION DE COMUNICAC. Y RR.PP.</t>
  </si>
  <si>
    <t>DIRECTOR DE COMUNIC. Y RR.PP.</t>
  </si>
  <si>
    <t>DIRECCION DE DEFENSA CIVIL</t>
  </si>
  <si>
    <t>DIRECTOR DE DEFENSA NACIONAL</t>
  </si>
  <si>
    <t>SPB</t>
  </si>
  <si>
    <t>INGENIERO III</t>
  </si>
  <si>
    <t>ESPECIALISTA EN CAPACITACION III</t>
  </si>
  <si>
    <t>STC</t>
  </si>
  <si>
    <t>OPERADOR EQUIPO ELECTRONICO II</t>
  </si>
  <si>
    <t>GERENCIA GENERAL REGIONAL</t>
  </si>
  <si>
    <t>GERENTE GENERAL REGIONAL</t>
  </si>
  <si>
    <t>SECRETARIA GENERAL</t>
  </si>
  <si>
    <t>F-3</t>
  </si>
  <si>
    <t>SECRETARIO GENERAL</t>
  </si>
  <si>
    <t>TECNICO ADMINISTRATIVO III</t>
  </si>
  <si>
    <t>TECNICO EN ARCHIVO III</t>
  </si>
  <si>
    <t>PROCURADURIA PUBLICA REGIONAL</t>
  </si>
  <si>
    <t>F-5</t>
  </si>
  <si>
    <t>PROCURADOR PUBLICO REGIONAL</t>
  </si>
  <si>
    <t>PROCUR.PUBLICO REG. ADJUNTO</t>
  </si>
  <si>
    <t>SPA</t>
  </si>
  <si>
    <t>ABOGADO IV</t>
  </si>
  <si>
    <t>DIRECCION REG. CONTROL INSITUCIONAL</t>
  </si>
  <si>
    <t>DIRECCION REG. ASESORIA JURIDICA</t>
  </si>
  <si>
    <t>DIR. REG. ASESORIA JURIDICA</t>
  </si>
  <si>
    <t>DIRECTOR DE SISTEMA  ADMINISTRATIVO   II</t>
  </si>
  <si>
    <t>ABOGADO III</t>
  </si>
  <si>
    <t>TECNICO EN ABOGACIA I</t>
  </si>
  <si>
    <t>DIRECCION REG. ADMINISTRACION</t>
  </si>
  <si>
    <t>DIRECCION DE PERSONAL</t>
  </si>
  <si>
    <t>ASISTENTA SOCIAL III</t>
  </si>
  <si>
    <t>TECNICO ADMINISTRATIVO   III</t>
  </si>
  <si>
    <t>AUXILIAR DE SISTEMA ADMINISTRATIVO III</t>
  </si>
  <si>
    <t>DIRECCION DE TESORERIA</t>
  </si>
  <si>
    <t>ESPECIALISTA ADMINISTRATIVO IV</t>
  </si>
  <si>
    <t>ESPECIALISTA ADMINISTRATIVO III</t>
  </si>
  <si>
    <t>DIRECCION DE CONTABILIDAD</t>
  </si>
  <si>
    <t>F-2</t>
  </si>
  <si>
    <t>DIRECTOR DE SISTEMA  ADMINISTRATIVO I</t>
  </si>
  <si>
    <t>TECNICO ADMINISTRATIVO   II</t>
  </si>
  <si>
    <t>DIRECCION DE PATRIMONIO</t>
  </si>
  <si>
    <t>DIRECCION DE ABASTECIMIENTO</t>
  </si>
  <si>
    <t>TECNICO ADMINISTRATIVO I</t>
  </si>
  <si>
    <t>TRABAJADOR DE SERVICIOS III</t>
  </si>
  <si>
    <t>GERENCIA REGIONAL DE DESARROLLO ECONOMICO</t>
  </si>
  <si>
    <t>GERENTE REG.  DE DESARROLLO ECONOMICO</t>
  </si>
  <si>
    <t>SUB GERENCIA PROMOCION INVERSION PRIVADA</t>
  </si>
  <si>
    <t>DIRECTOR DE PROGRAMA SECTORIAL II</t>
  </si>
  <si>
    <t>INGENIERIO  IV</t>
  </si>
  <si>
    <t>ECONOMISTA III</t>
  </si>
  <si>
    <t>ESPECIALISTA EN PROMOCION SOCIAL IV</t>
  </si>
  <si>
    <t>SUB GERENCIA PROMOCION EMPRESARIAL</t>
  </si>
  <si>
    <t>GERENCIA REGIONAL DE DESARROLLO SOCIAL</t>
  </si>
  <si>
    <t>GERENTE REGIONAL  DE DESARROLLO SOCIAL</t>
  </si>
  <si>
    <t>SUB GERENCIA DE DESARROLLO SOCIAL Y HUMANO</t>
  </si>
  <si>
    <t>SUB GERENCIA DE ASUNTOS POBLACIONALES</t>
  </si>
  <si>
    <t>GERENCIA REGIONAL DE PLANEAM. PPTO.  Y ACOND. TERRIT.</t>
  </si>
  <si>
    <t>GERENTE REG. PLAN.PPTO Y ACOND. TERRIT.</t>
  </si>
  <si>
    <t>SUB GERENCIA DE PLANEAMIENTO Y CTI.</t>
  </si>
  <si>
    <t>PLANIFICADOR IV</t>
  </si>
  <si>
    <t>SPC</t>
  </si>
  <si>
    <t>PLANIFICADOR III</t>
  </si>
  <si>
    <t>SUB GERENCIA DE PRESUPUESTO Y TRIBUTAC.</t>
  </si>
  <si>
    <t>ESPECIALISTA EN FINANZAS IV</t>
  </si>
  <si>
    <t>ESPECIALISTA EN FINANZAS III</t>
  </si>
  <si>
    <t>AUXILIAR SISTEMA ADMINISTRATIVO III</t>
  </si>
  <si>
    <t>SUB GERENCIA DE ACONDICIONAM. TERRITORIAL</t>
  </si>
  <si>
    <t>SUB GERENCIA DE DESARROLLO INSTITUCIONAL</t>
  </si>
  <si>
    <t>ESPECIALISTA EN RACIONALIZACION III</t>
  </si>
  <si>
    <t>SPD</t>
  </si>
  <si>
    <t>ESPECIALISTA EN RACIONALIZACION I</t>
  </si>
  <si>
    <t>TECNICO EN RACIONALIZACION II</t>
  </si>
  <si>
    <t>SUB GER. PROGRAMACION E INVERSION  PUBLICA</t>
  </si>
  <si>
    <t>INGENIERO IV</t>
  </si>
  <si>
    <t xml:space="preserve">GERENCIA REGIONAL DE INFRAESTRUCTURA </t>
  </si>
  <si>
    <t>GERENTE REGIONAL DE INFRAESTRUCTURA</t>
  </si>
  <si>
    <t xml:space="preserve">SUB GERENCIA DE ESTUDIOS </t>
  </si>
  <si>
    <t>DIRECTOR DE PROGRAMA SECTORIAL I</t>
  </si>
  <si>
    <t>TECNICO EN INGENIERIA I</t>
  </si>
  <si>
    <t>SUB GERENCIA DE SUPERVISION Y LIQUIDACIONES</t>
  </si>
  <si>
    <t>SUPERVISOR PROGRAMA SECTORIAL II</t>
  </si>
  <si>
    <t>INGENIERIO EN CIENCIAS AGROPECUARIAS IV</t>
  </si>
  <si>
    <t>TECNICO ADMINISTRATIVO II</t>
  </si>
  <si>
    <t xml:space="preserve">SUB GERENCIA DE OPERACIONES </t>
  </si>
  <si>
    <t>GERENCIA REGIONAL DE RR.NN. Y GEST. MED. AMB.</t>
  </si>
  <si>
    <t>GERENTE REG. DE  RR.NN Y GEST. MED. AMB.</t>
  </si>
  <si>
    <t xml:space="preserve">SUB GERENCIA DEL MEDIO AMBIENTE </t>
  </si>
  <si>
    <t>SUB GERENCIA RR.NN. Y AREAS NATURALES PROTEGIDAS</t>
  </si>
  <si>
    <t>DIRECCION</t>
  </si>
  <si>
    <t>DIVISION TECNICO SOCIAL</t>
  </si>
  <si>
    <t>ASISTENTE SOCIAL III</t>
  </si>
  <si>
    <t>HOGARES</t>
  </si>
  <si>
    <t>STE</t>
  </si>
  <si>
    <t>TIA  SUSTITUTA</t>
  </si>
  <si>
    <t xml:space="preserve">ENTIDAD                       :  ARCHIVO REGIONAL CAJAMARCA </t>
  </si>
  <si>
    <t>DEPARTAMENTO DE ARCHIVO ADMINISTRATIVO</t>
  </si>
  <si>
    <t>ESPECIALISTA EN ARCHIVO IV</t>
  </si>
  <si>
    <t>DEPARTAMENTO DE ARCHIVO HISTORICO</t>
  </si>
  <si>
    <t>ENTIDAD                       :  DIRECCION REGIONAL DE TRABAJO Y PROMOCION SOCIAL</t>
  </si>
  <si>
    <t xml:space="preserve">DIRECCION DE PREVENCION  Y SOLUCION </t>
  </si>
  <si>
    <t>DE CONFLICTOS</t>
  </si>
  <si>
    <t>TECNICO EN ABOGACIA II</t>
  </si>
  <si>
    <t>DIRECCION  DE EMPLEO FORMAC. PROF. Y</t>
  </si>
  <si>
    <t>FOMENTO  DE LA MICRO Y PEQUEÑA EMPRESA</t>
  </si>
  <si>
    <t>ENTIDAD                       :  DIRECCION REGIONAL DE PRODUCCION</t>
  </si>
  <si>
    <t xml:space="preserve">DIRECCION DE PESCA, CONT. Y VIGILANCIA </t>
  </si>
  <si>
    <t>MEDICO VETERINARIO III</t>
  </si>
  <si>
    <t>DIRECCION  DE ACUICULTURA</t>
  </si>
  <si>
    <t>DIRECCION DE INDUSTRIA</t>
  </si>
  <si>
    <t>ESPECIALISTA EN EVALUAC. INDUSTRIAL II</t>
  </si>
  <si>
    <t>TECNICO  EN COMERCIALIZACION  I</t>
  </si>
  <si>
    <t>SECRETARIA  IV</t>
  </si>
  <si>
    <t>ESPECIALISTA EN EVAL. INDUSTRIAL III</t>
  </si>
  <si>
    <t>DIRECCION SUB REGIONAL CHOTA</t>
  </si>
  <si>
    <t>TECNICO  EN EVALUAC. INDUSTRIAL I</t>
  </si>
  <si>
    <t>ENTIDAD                       :  DIRECCION REGIONAL DE ENERGIA Y MINAS</t>
  </si>
  <si>
    <t xml:space="preserve">DIRECCION  DE HIDROCARBUROS Y </t>
  </si>
  <si>
    <t>ELECTRICIDAD</t>
  </si>
  <si>
    <t>ENTIDAD                       :  DIRECCION REGIONAL DE COMERCIO EXTERIOR Y TURISMO</t>
  </si>
  <si>
    <t>SUPERV. DE CONSERV. Y SERVICIO II</t>
  </si>
  <si>
    <t>DIRECCION DE COMERCIO EXTERIOR Y ARTESANIA</t>
  </si>
  <si>
    <t>ESPECIALISTA EN PROMOC. ARTESANAL II</t>
  </si>
  <si>
    <t>PROMOTOR ARTESANAL I</t>
  </si>
  <si>
    <t>TECNICO  EN COMERCIALIZACION I</t>
  </si>
  <si>
    <t>DIRECCION DE TURISMO</t>
  </si>
  <si>
    <t>ESPECIALISTA EN TURISMO II</t>
  </si>
  <si>
    <t>TECNICO  EN TURISMO I</t>
  </si>
  <si>
    <t>DIRECCION ZONAL CHOTA</t>
  </si>
  <si>
    <t>DIRECTOR DE PROGRAMA SECTORIAL III</t>
  </si>
  <si>
    <t>TECNICO  EN TURISMO II</t>
  </si>
  <si>
    <t>MAMA SUSTITUTA</t>
  </si>
  <si>
    <t>STF</t>
  </si>
  <si>
    <t>PRESIDENTE REGIONAL</t>
  </si>
  <si>
    <t>VICEPRESIDENTE  REGIONAL</t>
  </si>
  <si>
    <t>DIRECTOR REGIONAL DE ADMINISTRACION</t>
  </si>
  <si>
    <t>DIRECTOR DE PERSONAL</t>
  </si>
  <si>
    <t>DIRECTOR DE TESORERIA</t>
  </si>
  <si>
    <t>DIRECTOR DE  CONTABILIDAD</t>
  </si>
  <si>
    <t>DIRECTOR DE PATRIMONIO</t>
  </si>
  <si>
    <t>DIRECTOR DE ABASTECIMIENTO</t>
  </si>
  <si>
    <t>SUB GERENTE DE PROMOC INVERS. PUBLICA</t>
  </si>
  <si>
    <t>SUB GERENTE DE PROMOCION EMPRESARIAL</t>
  </si>
  <si>
    <t>SUB GERENTE DESARROLLO SOCIAL Y HUMANO</t>
  </si>
  <si>
    <t>SUB GERENTE ASUNTOS POBLACIONALES</t>
  </si>
  <si>
    <t>SUB GERENTE DE PLANEAMIENTO Y CTI.</t>
  </si>
  <si>
    <t>SUB GERENTE PRESUPUESTO Y TRIBUTACION</t>
  </si>
  <si>
    <t>SUB GERENTE  DESARROLLO INSTITUCIONAL</t>
  </si>
  <si>
    <t>SUB GERENTE  PROGRAM. INVERS. PUBLICA</t>
  </si>
  <si>
    <t>SUB GERENTE DE ESTUDIOS</t>
  </si>
  <si>
    <t>SUB GERENTE DE SUPERV. Y LIQUIDAC.</t>
  </si>
  <si>
    <t>SUB GERENTE DE OPERACIONES</t>
  </si>
  <si>
    <t>SUB GERENTE MEDIO AMBIENTE</t>
  </si>
  <si>
    <t>SUB GERENTE RR.NN. AREAS. NAT. PROTEG.</t>
  </si>
  <si>
    <t>DIRECTOR REGIONAL COMERC. EXT. Y TURISMO</t>
  </si>
  <si>
    <t>DIRECTOR REGIONAL ENERGIA Y MINAS</t>
  </si>
  <si>
    <t>DIRECTOR REGIONAL DE LA PRODUCCION</t>
  </si>
  <si>
    <t>DIRECTOR REGIONAL DE TRABAJO Y PROMO. SOCIAL</t>
  </si>
  <si>
    <t>DIRECTOR  ALDEA INFANTIL SAN ANTONIO</t>
  </si>
  <si>
    <t>º</t>
  </si>
  <si>
    <t>UNIDAD EJECUTORA :  001 – 0775 SEDE GOBIERNO REGIONAL CAJAMARCA</t>
  </si>
  <si>
    <t xml:space="preserve">ENTIDAD                       :   ALDEA INFANTIL SAN ANTONIO CAJAMARCA   </t>
  </si>
  <si>
    <t>UNIDAD EJECUTORA :  001 – 0775 : SEDE GOBIERNO REGIONAL CAJAMARCA</t>
  </si>
  <si>
    <t>MONTOYA CARBAJAL</t>
  </si>
  <si>
    <t>SILVA MIRANDA</t>
  </si>
  <si>
    <t>TACILLA CARRASCO</t>
  </si>
  <si>
    <t>FERNANDEZ GUEVARA</t>
  </si>
  <si>
    <t>TORRES AGUIRRE</t>
  </si>
  <si>
    <t>ARNA BARRANTES</t>
  </si>
  <si>
    <t>SANCHEZ RUIZ</t>
  </si>
  <si>
    <t>VILLATE IZQUIERDO</t>
  </si>
  <si>
    <t xml:space="preserve">VERASTEGUI ABANTO </t>
  </si>
  <si>
    <t xml:space="preserve">VACANTE </t>
  </si>
  <si>
    <t>SERRANO MEDINA</t>
  </si>
  <si>
    <t>MONTES DE OCA LOZA</t>
  </si>
  <si>
    <t>MANTILLA JULCAMORO</t>
  </si>
  <si>
    <t>ROMAN ROMERO</t>
  </si>
  <si>
    <t>SALVERRY CENTURION</t>
  </si>
  <si>
    <t>CAMPOS COMETTANT</t>
  </si>
  <si>
    <t xml:space="preserve">BARRANTES MEDINA </t>
  </si>
  <si>
    <t>CARRASCO TACILLA</t>
  </si>
  <si>
    <t>URTEAGA GUERRERO</t>
  </si>
  <si>
    <t>MUÑOZ ROMERO</t>
  </si>
  <si>
    <t>GROSSO TORRRES</t>
  </si>
  <si>
    <t>BARBOZA HERNANDEZ</t>
  </si>
  <si>
    <t>URTEAGA ALERA</t>
  </si>
  <si>
    <t>PIEDRA FLORES</t>
  </si>
  <si>
    <t>TORRES VELARDE</t>
  </si>
  <si>
    <t>CESPEDES SOLIS</t>
  </si>
  <si>
    <t>RODAS RAMIREZ</t>
  </si>
  <si>
    <t>ANTINORI GRCIA</t>
  </si>
  <si>
    <t>VALERA CABRERA</t>
  </si>
  <si>
    <t>RIMARACHIN BRIONES</t>
  </si>
  <si>
    <t>FERNANDEZ COTRINA</t>
  </si>
  <si>
    <t>CUEVA ROMERO</t>
  </si>
  <si>
    <t>MONTOYARIOS</t>
  </si>
  <si>
    <t xml:space="preserve">BAZAN ZALDIVAR </t>
  </si>
  <si>
    <t>CABRERA RUIZ</t>
  </si>
  <si>
    <t>CUENCA PALACIOS</t>
  </si>
  <si>
    <t>MENDOZA BARRANTES</t>
  </si>
  <si>
    <t>CHACON SANCHEZ</t>
  </si>
  <si>
    <t>INFANTE DIAZ</t>
  </si>
  <si>
    <t>ROJAS OBLITAS</t>
  </si>
  <si>
    <t>OBESO MONCADA</t>
  </si>
  <si>
    <t>MORALES PACHAMANGO</t>
  </si>
  <si>
    <t>ALAYO SALAZAR</t>
  </si>
  <si>
    <t xml:space="preserve">LOZANO DIAZ </t>
  </si>
  <si>
    <t>CACHI BOÑON</t>
  </si>
  <si>
    <t>CASTAÑEDA PEREYRA</t>
  </si>
  <si>
    <t>LEZAMA ABANTO</t>
  </si>
  <si>
    <t>DIAZ MANTILLA</t>
  </si>
  <si>
    <t>ROJAS QUISPE</t>
  </si>
  <si>
    <t>RONCAL VARGAS</t>
  </si>
  <si>
    <t>PAREDES VASQUEZ</t>
  </si>
  <si>
    <t>SANZ MONTESINOS</t>
  </si>
  <si>
    <t>ESPINOZA RODRIGUEZ</t>
  </si>
  <si>
    <t>AGUILAR ALVAREZ</t>
  </si>
  <si>
    <t>DAVILA VALENCIO</t>
  </si>
  <si>
    <t>CASTRO LEON</t>
  </si>
  <si>
    <t>REYNA GOICOCHEA</t>
  </si>
  <si>
    <t>CAVERO PONCE</t>
  </si>
  <si>
    <t>ARROYO RUIZ</t>
  </si>
  <si>
    <t>CARRASCO TASILLA</t>
  </si>
  <si>
    <t>MORALES RIOS</t>
  </si>
  <si>
    <t>RUBIO BAZAN</t>
  </si>
  <si>
    <t>ALCALDE GIOVE</t>
  </si>
  <si>
    <t>MARIN VILLANUEVA</t>
  </si>
  <si>
    <t>INFNATE CHAVEZ</t>
  </si>
  <si>
    <t xml:space="preserve">BRIONES BARRANTES </t>
  </si>
  <si>
    <t>CACERES ABANTO</t>
  </si>
  <si>
    <t>JIMENEZ SANCHEZ</t>
  </si>
  <si>
    <t>VASQUEZ QUISPE</t>
  </si>
  <si>
    <t>MONTOYA CHAVEZ</t>
  </si>
  <si>
    <t>GAVIDIA JAVE</t>
  </si>
  <si>
    <t>OBLITAS QUISPE</t>
  </si>
  <si>
    <t>ABANTO SALAZAR</t>
  </si>
  <si>
    <t>VALERRAMA BAZAN</t>
  </si>
  <si>
    <t>ALCANTARA MENDOZA</t>
  </si>
  <si>
    <t>MEGO VARGAS</t>
  </si>
  <si>
    <t>CALDERON FLORES</t>
  </si>
  <si>
    <t>CALLIRGOS CARBONELL</t>
  </si>
  <si>
    <t>PANDO GOMEZ</t>
  </si>
  <si>
    <t>ARROYO ABANTO</t>
  </si>
  <si>
    <t>RAMIREZ GRACIANO</t>
  </si>
  <si>
    <t>UNICO</t>
  </si>
  <si>
    <t>SENTENC.</t>
  </si>
  <si>
    <t>JUDICIAL</t>
  </si>
  <si>
    <t>RODRIGUEZ PAJARES MATILDE</t>
  </si>
  <si>
    <t>QUIROZ CASTREJON</t>
  </si>
  <si>
    <t>P E R I O D O       P R O P U E S T O      2  0  1 7</t>
  </si>
  <si>
    <t>EJERCICIO PRESUPUESTAL   :   2017</t>
  </si>
  <si>
    <t>2  0  1  6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</si>
</sst>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_)"/>
    <numFmt numFmtId="173" formatCode="_ * #,##0.00_ ;_ * \-#,##0.00_ ;_ * \-??_ ;_ @_ "/>
    <numFmt numFmtId="174" formatCode="0.00;[Red]0.00"/>
  </numFmts>
  <fonts count="26" x14ac:knownFonts="1">
    <font>
      <sz val="10"/>
      <name val="Courier New"/>
      <family val="3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8"/>
      <name val="Arial"/>
      <family val="2"/>
      <charset val="1"/>
    </font>
    <font>
      <u/>
      <sz val="8"/>
      <name val="Arial"/>
      <family val="2"/>
      <charset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1"/>
    </font>
    <font>
      <b/>
      <u/>
      <sz val="9"/>
      <name val="Arial"/>
      <family val="2"/>
      <charset val="1"/>
    </font>
    <font>
      <u/>
      <sz val="8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</font>
    <font>
      <sz val="7"/>
      <name val="Arial"/>
      <family val="2"/>
    </font>
    <font>
      <b/>
      <sz val="8"/>
      <name val="Courier New"/>
      <family val="3"/>
    </font>
    <font>
      <sz val="8"/>
      <name val="Calibri"/>
      <family val="2"/>
    </font>
    <font>
      <sz val="8"/>
      <name val="Courier New"/>
      <family val="3"/>
    </font>
    <font>
      <b/>
      <sz val="8"/>
      <name val="Calibri"/>
      <family val="2"/>
    </font>
    <font>
      <sz val="10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73" fontId="8" fillId="0" borderId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4" xfId="0" applyFont="1" applyBorder="1"/>
    <xf numFmtId="0" fontId="5" fillId="0" borderId="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0" fontId="6" fillId="0" borderId="8" xfId="0" applyFont="1" applyFill="1" applyBorder="1"/>
    <xf numFmtId="0" fontId="7" fillId="0" borderId="8" xfId="0" applyFont="1" applyFill="1" applyBorder="1"/>
    <xf numFmtId="0" fontId="5" fillId="0" borderId="8" xfId="0" applyFont="1" applyFill="1" applyBorder="1"/>
    <xf numFmtId="0" fontId="5" fillId="0" borderId="8" xfId="0" applyFont="1" applyBorder="1"/>
    <xf numFmtId="0" fontId="7" fillId="0" borderId="8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</xf>
    <xf numFmtId="172" fontId="5" fillId="0" borderId="8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173" fontId="9" fillId="0" borderId="8" xfId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right"/>
    </xf>
    <xf numFmtId="39" fontId="5" fillId="0" borderId="8" xfId="0" applyNumberFormat="1" applyFont="1" applyFill="1" applyBorder="1" applyProtection="1"/>
    <xf numFmtId="4" fontId="5" fillId="0" borderId="8" xfId="0" applyNumberFormat="1" applyFont="1" applyFill="1" applyBorder="1" applyProtection="1"/>
    <xf numFmtId="4" fontId="5" fillId="0" borderId="8" xfId="0" applyNumberFormat="1" applyFont="1" applyBorder="1"/>
    <xf numFmtId="0" fontId="5" fillId="0" borderId="8" xfId="0" applyFont="1" applyFill="1" applyBorder="1" applyAlignment="1" applyProtection="1">
      <alignment horizontal="left"/>
    </xf>
    <xf numFmtId="0" fontId="10" fillId="0" borderId="8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0" fontId="5" fillId="0" borderId="8" xfId="0" applyFont="1" applyFill="1" applyBorder="1" applyProtection="1"/>
    <xf numFmtId="2" fontId="5" fillId="0" borderId="8" xfId="0" applyNumberFormat="1" applyFont="1" applyFill="1" applyBorder="1" applyProtection="1"/>
    <xf numFmtId="0" fontId="9" fillId="0" borderId="8" xfId="0" applyFont="1" applyFill="1" applyBorder="1" applyAlignment="1" applyProtection="1">
      <alignment horizontal="left"/>
    </xf>
    <xf numFmtId="0" fontId="9" fillId="0" borderId="8" xfId="0" applyFont="1" applyFill="1" applyBorder="1"/>
    <xf numFmtId="2" fontId="5" fillId="0" borderId="8" xfId="0" applyNumberFormat="1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right"/>
    </xf>
    <xf numFmtId="2" fontId="5" fillId="0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/>
    <xf numFmtId="172" fontId="5" fillId="0" borderId="8" xfId="0" applyNumberFormat="1" applyFont="1" applyBorder="1" applyAlignment="1" applyProtection="1">
      <alignment horizontal="center"/>
    </xf>
    <xf numFmtId="39" fontId="5" fillId="0" borderId="8" xfId="0" applyNumberFormat="1" applyFont="1" applyBorder="1" applyProtection="1"/>
    <xf numFmtId="37" fontId="5" fillId="0" borderId="8" xfId="0" applyNumberFormat="1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left"/>
    </xf>
    <xf numFmtId="39" fontId="7" fillId="0" borderId="8" xfId="0" applyNumberFormat="1" applyFont="1" applyBorder="1" applyProtection="1"/>
    <xf numFmtId="0" fontId="5" fillId="0" borderId="8" xfId="0" applyFont="1" applyFill="1" applyBorder="1" applyAlignment="1">
      <alignment horizontal="right"/>
    </xf>
    <xf numFmtId="37" fontId="5" fillId="0" borderId="8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>
      <alignment horizontal="left"/>
    </xf>
    <xf numFmtId="0" fontId="11" fillId="0" borderId="8" xfId="0" applyFont="1" applyFill="1" applyBorder="1" applyAlignment="1" applyProtection="1">
      <alignment horizontal="left"/>
    </xf>
    <xf numFmtId="0" fontId="12" fillId="0" borderId="9" xfId="0" applyFont="1" applyFill="1" applyBorder="1" applyAlignment="1" applyProtection="1">
      <alignment horizontal="left"/>
    </xf>
    <xf numFmtId="39" fontId="7" fillId="0" borderId="8" xfId="0" applyNumberFormat="1" applyFont="1" applyFill="1" applyBorder="1" applyProtection="1"/>
    <xf numFmtId="0" fontId="13" fillId="0" borderId="9" xfId="0" applyFont="1" applyFill="1" applyBorder="1" applyAlignment="1" applyProtection="1">
      <alignment horizontal="left"/>
    </xf>
    <xf numFmtId="0" fontId="12" fillId="0" borderId="9" xfId="0" applyFont="1" applyFill="1" applyBorder="1"/>
    <xf numFmtId="2" fontId="9" fillId="0" borderId="8" xfId="0" applyNumberFormat="1" applyFont="1" applyFill="1" applyBorder="1" applyAlignment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fill"/>
    </xf>
    <xf numFmtId="0" fontId="10" fillId="2" borderId="5" xfId="0" applyFont="1" applyFill="1" applyBorder="1" applyAlignment="1">
      <alignment horizontal="center"/>
    </xf>
    <xf numFmtId="37" fontId="10" fillId="2" borderId="5" xfId="0" applyNumberFormat="1" applyFont="1" applyFill="1" applyBorder="1" applyAlignment="1" applyProtection="1">
      <alignment horizontal="center"/>
    </xf>
    <xf numFmtId="0" fontId="10" fillId="2" borderId="5" xfId="0" applyFont="1" applyFill="1" applyBorder="1"/>
    <xf numFmtId="0" fontId="10" fillId="2" borderId="10" xfId="0" applyFont="1" applyFill="1" applyBorder="1"/>
    <xf numFmtId="39" fontId="10" fillId="2" borderId="5" xfId="0" applyNumberFormat="1" applyFont="1" applyFill="1" applyBorder="1" applyAlignment="1" applyProtection="1">
      <alignment horizontal="right"/>
    </xf>
    <xf numFmtId="37" fontId="10" fillId="2" borderId="6" xfId="0" applyNumberFormat="1" applyFont="1" applyFill="1" applyBorder="1" applyAlignment="1" applyProtection="1">
      <alignment horizontal="center"/>
    </xf>
    <xf numFmtId="4" fontId="10" fillId="2" borderId="5" xfId="0" applyNumberFormat="1" applyFont="1" applyFill="1" applyBorder="1" applyAlignment="1" applyProtection="1">
      <alignment horizontal="center"/>
    </xf>
    <xf numFmtId="0" fontId="10" fillId="2" borderId="6" xfId="0" applyFont="1" applyFill="1" applyBorder="1"/>
    <xf numFmtId="0" fontId="12" fillId="0" borderId="8" xfId="0" applyFont="1" applyFill="1" applyBorder="1"/>
    <xf numFmtId="0" fontId="14" fillId="0" borderId="8" xfId="0" applyFont="1" applyFill="1" applyBorder="1" applyAlignment="1" applyProtection="1">
      <alignment horizontal="left"/>
    </xf>
    <xf numFmtId="2" fontId="5" fillId="0" borderId="8" xfId="0" applyNumberFormat="1" applyFont="1" applyBorder="1"/>
    <xf numFmtId="174" fontId="9" fillId="0" borderId="8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39" fontId="5" fillId="0" borderId="8" xfId="0" applyNumberFormat="1" applyFont="1" applyBorder="1" applyAlignment="1" applyProtection="1">
      <alignment horizontal="right"/>
    </xf>
    <xf numFmtId="0" fontId="14" fillId="0" borderId="8" xfId="0" applyFont="1" applyFill="1" applyBorder="1" applyAlignment="1" applyProtection="1"/>
    <xf numFmtId="0" fontId="15" fillId="0" borderId="8" xfId="0" applyFont="1" applyFill="1" applyBorder="1" applyAlignment="1" applyProtection="1">
      <alignment horizontal="left"/>
    </xf>
    <xf numFmtId="173" fontId="15" fillId="3" borderId="0" xfId="1" applyFont="1" applyFill="1" applyBorder="1" applyAlignment="1" applyProtection="1"/>
    <xf numFmtId="173" fontId="16" fillId="3" borderId="0" xfId="1" applyFont="1" applyFill="1" applyBorder="1" applyAlignment="1" applyProtection="1"/>
    <xf numFmtId="39" fontId="10" fillId="2" borderId="12" xfId="0" applyNumberFormat="1" applyFont="1" applyFill="1" applyBorder="1" applyAlignment="1" applyProtection="1">
      <alignment horizontal="right"/>
    </xf>
    <xf numFmtId="0" fontId="17" fillId="0" borderId="0" xfId="0" applyFont="1"/>
    <xf numFmtId="0" fontId="18" fillId="0" borderId="0" xfId="0" applyFont="1"/>
    <xf numFmtId="173" fontId="9" fillId="0" borderId="8" xfId="1" applyFont="1" applyFill="1" applyBorder="1" applyAlignment="1" applyProtection="1">
      <alignment horizontal="right"/>
    </xf>
    <xf numFmtId="0" fontId="20" fillId="0" borderId="8" xfId="0" applyFont="1" applyFill="1" applyBorder="1"/>
    <xf numFmtId="0" fontId="10" fillId="0" borderId="8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2" fontId="9" fillId="0" borderId="8" xfId="0" applyNumberFormat="1" applyFont="1" applyFill="1" applyBorder="1" applyAlignment="1">
      <alignment horizontal="right"/>
    </xf>
    <xf numFmtId="0" fontId="20" fillId="0" borderId="8" xfId="0" applyFont="1" applyFill="1" applyBorder="1" applyAlignment="1" applyProtection="1">
      <alignment horizontal="left"/>
    </xf>
    <xf numFmtId="0" fontId="12" fillId="0" borderId="8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173" fontId="9" fillId="0" borderId="8" xfId="1" applyFont="1" applyBorder="1" applyAlignment="1">
      <alignment horizontal="right"/>
    </xf>
    <xf numFmtId="173" fontId="9" fillId="0" borderId="8" xfId="1" applyFont="1" applyBorder="1"/>
    <xf numFmtId="173" fontId="9" fillId="0" borderId="8" xfId="1" applyFont="1" applyBorder="1" applyProtection="1"/>
    <xf numFmtId="173" fontId="9" fillId="0" borderId="8" xfId="1" applyFont="1" applyFill="1" applyBorder="1" applyAlignment="1">
      <alignment horizontal="right"/>
    </xf>
    <xf numFmtId="173" fontId="9" fillId="0" borderId="8" xfId="1" applyFont="1" applyFill="1" applyBorder="1" applyProtection="1"/>
    <xf numFmtId="173" fontId="9" fillId="0" borderId="8" xfId="1" applyFont="1" applyFill="1" applyBorder="1"/>
    <xf numFmtId="173" fontId="9" fillId="0" borderId="8" xfId="1" applyFont="1" applyBorder="1" applyAlignment="1" applyProtection="1">
      <alignment horizontal="right"/>
    </xf>
    <xf numFmtId="0" fontId="0" fillId="0" borderId="0" xfId="0" applyBorder="1"/>
    <xf numFmtId="0" fontId="9" fillId="0" borderId="17" xfId="0" applyFont="1" applyFill="1" applyBorder="1" applyAlignment="1">
      <alignment horizontal="center"/>
    </xf>
    <xf numFmtId="172" fontId="5" fillId="0" borderId="18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</xf>
    <xf numFmtId="173" fontId="9" fillId="0" borderId="18" xfId="1" applyFont="1" applyFill="1" applyBorder="1" applyAlignment="1" applyProtection="1">
      <alignment horizontal="center"/>
    </xf>
    <xf numFmtId="0" fontId="5" fillId="0" borderId="18" xfId="0" applyFont="1" applyFill="1" applyBorder="1" applyAlignment="1">
      <alignment horizontal="right"/>
    </xf>
    <xf numFmtId="39" fontId="5" fillId="0" borderId="18" xfId="0" applyNumberFormat="1" applyFont="1" applyFill="1" applyBorder="1" applyProtection="1"/>
    <xf numFmtId="4" fontId="5" fillId="0" borderId="18" xfId="0" applyNumberFormat="1" applyFont="1" applyFill="1" applyBorder="1" applyProtection="1"/>
    <xf numFmtId="2" fontId="5" fillId="0" borderId="18" xfId="0" applyNumberFormat="1" applyFont="1" applyFill="1" applyBorder="1" applyProtection="1"/>
    <xf numFmtId="4" fontId="5" fillId="0" borderId="18" xfId="0" applyNumberFormat="1" applyFont="1" applyFill="1" applyBorder="1"/>
    <xf numFmtId="0" fontId="9" fillId="0" borderId="18" xfId="0" applyFont="1" applyFill="1" applyBorder="1"/>
    <xf numFmtId="0" fontId="12" fillId="0" borderId="19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9" fillId="0" borderId="18" xfId="0" applyFont="1" applyFill="1" applyBorder="1" applyAlignment="1" applyProtection="1">
      <alignment horizontal="left"/>
    </xf>
    <xf numFmtId="39" fontId="5" fillId="0" borderId="18" xfId="0" applyNumberFormat="1" applyFont="1" applyBorder="1" applyProtection="1"/>
    <xf numFmtId="0" fontId="5" fillId="0" borderId="18" xfId="0" applyFont="1" applyBorder="1" applyAlignment="1" applyProtection="1">
      <alignment horizontal="center"/>
    </xf>
    <xf numFmtId="173" fontId="8" fillId="0" borderId="0" xfId="1"/>
    <xf numFmtId="0" fontId="4" fillId="4" borderId="1" xfId="0" applyFont="1" applyFill="1" applyBorder="1"/>
    <xf numFmtId="0" fontId="4" fillId="4" borderId="0" xfId="0" applyFont="1" applyFill="1" applyBorder="1" applyAlignment="1" applyProtection="1">
      <alignment horizontal="fill"/>
    </xf>
    <xf numFmtId="0" fontId="4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13" xfId="0" applyFont="1" applyFill="1" applyBorder="1"/>
    <xf numFmtId="0" fontId="4" fillId="4" borderId="12" xfId="0" applyFont="1" applyFill="1" applyBorder="1" applyAlignment="1" applyProtection="1">
      <alignment horizontal="fill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4" fillId="4" borderId="2" xfId="0" applyFont="1" applyFill="1" applyBorder="1"/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left"/>
    </xf>
    <xf numFmtId="0" fontId="4" fillId="4" borderId="7" xfId="0" applyFont="1" applyFill="1" applyBorder="1" applyAlignment="1" applyProtection="1">
      <alignment horizontal="center"/>
    </xf>
    <xf numFmtId="0" fontId="4" fillId="4" borderId="5" xfId="0" applyFont="1" applyFill="1" applyBorder="1"/>
    <xf numFmtId="173" fontId="15" fillId="0" borderId="0" xfId="1" applyFont="1"/>
    <xf numFmtId="4" fontId="21" fillId="0" borderId="0" xfId="0" applyNumberFormat="1" applyFont="1"/>
    <xf numFmtId="39" fontId="5" fillId="0" borderId="17" xfId="0" applyNumberFormat="1" applyFont="1" applyFill="1" applyBorder="1" applyProtection="1"/>
    <xf numFmtId="173" fontId="19" fillId="0" borderId="0" xfId="1" applyFont="1"/>
    <xf numFmtId="0" fontId="25" fillId="0" borderId="0" xfId="0" applyFont="1"/>
    <xf numFmtId="173" fontId="9" fillId="0" borderId="8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 applyProtection="1"/>
    <xf numFmtId="173" fontId="9" fillId="0" borderId="8" xfId="1" applyFont="1" applyBorder="1" applyAlignment="1"/>
    <xf numFmtId="173" fontId="9" fillId="0" borderId="8" xfId="1" applyFont="1" applyBorder="1" applyAlignment="1" applyProtection="1"/>
    <xf numFmtId="173" fontId="9" fillId="0" borderId="8" xfId="1" applyFont="1" applyFill="1" applyBorder="1" applyAlignment="1"/>
    <xf numFmtId="173" fontId="9" fillId="0" borderId="8" xfId="1" applyFont="1" applyFill="1" applyBorder="1" applyAlignment="1" applyProtection="1"/>
    <xf numFmtId="39" fontId="12" fillId="0" borderId="8" xfId="0" applyNumberFormat="1" applyFont="1" applyFill="1" applyBorder="1" applyProtection="1"/>
    <xf numFmtId="0" fontId="0" fillId="5" borderId="0" xfId="0" applyFill="1"/>
    <xf numFmtId="4" fontId="0" fillId="0" borderId="0" xfId="0" applyNumberFormat="1"/>
    <xf numFmtId="0" fontId="22" fillId="0" borderId="0" xfId="0" applyFont="1"/>
    <xf numFmtId="4" fontId="23" fillId="0" borderId="0" xfId="0" applyNumberFormat="1" applyFont="1"/>
    <xf numFmtId="4" fontId="24" fillId="0" borderId="0" xfId="0" applyNumberFormat="1" applyFont="1"/>
    <xf numFmtId="0" fontId="4" fillId="4" borderId="5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9"/>
  <sheetViews>
    <sheetView tabSelected="1" topLeftCell="A49" zoomScale="82" zoomScaleNormal="82" workbookViewId="0">
      <selection activeCell="P247" sqref="P247"/>
    </sheetView>
  </sheetViews>
  <sheetFormatPr baseColWidth="10" defaultColWidth="10.75" defaultRowHeight="13.5" x14ac:dyDescent="0.25"/>
  <cols>
    <col min="1" max="1" width="6.25" customWidth="1"/>
    <col min="2" max="2" width="6.375" customWidth="1"/>
    <col min="3" max="3" width="6.75" customWidth="1"/>
    <col min="4" max="5" width="6.25" customWidth="1"/>
    <col min="6" max="6" width="9.75" customWidth="1"/>
    <col min="7" max="7" width="12" customWidth="1"/>
    <col min="8" max="8" width="0.125" hidden="1" customWidth="1"/>
    <col min="9" max="9" width="9.5" customWidth="1"/>
    <col min="10" max="10" width="12.5" customWidth="1"/>
    <col min="11" max="11" width="10.75" customWidth="1"/>
    <col min="12" max="12" width="5.875" customWidth="1"/>
    <col min="13" max="13" width="6.125" customWidth="1"/>
    <col min="14" max="14" width="7.25" customWidth="1"/>
    <col min="15" max="15" width="10.125" customWidth="1"/>
    <col min="16" max="16" width="14.375" customWidth="1"/>
    <col min="17" max="17" width="13" customWidth="1"/>
    <col min="18" max="18" width="11.875" customWidth="1"/>
    <col min="19" max="19" width="11" customWidth="1"/>
    <col min="20" max="20" width="10.625" customWidth="1"/>
    <col min="21" max="21" width="11.875" customWidth="1"/>
    <col min="22" max="22" width="26.75" customWidth="1"/>
    <col min="24" max="24" width="22.875" customWidth="1"/>
  </cols>
  <sheetData>
    <row r="1" spans="1:22" ht="15" x14ac:dyDescent="0.25">
      <c r="A1" s="157" t="s">
        <v>0</v>
      </c>
      <c r="B1" s="157"/>
      <c r="C1" s="157"/>
      <c r="D1" s="157"/>
      <c r="E1" s="157"/>
      <c r="F1" s="15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15" x14ac:dyDescent="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5"/>
    </row>
    <row r="4" spans="1:22" ht="15" x14ac:dyDescent="0.25">
      <c r="A4" s="152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2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3"/>
    </row>
    <row r="6" spans="1:22" ht="15" x14ac:dyDescent="0.25">
      <c r="A6" s="2" t="s">
        <v>4</v>
      </c>
      <c r="B6" s="2"/>
      <c r="C6" s="2"/>
      <c r="D6" s="6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 x14ac:dyDescent="0.25">
      <c r="A7" s="2" t="s">
        <v>5</v>
      </c>
      <c r="B7" s="2"/>
      <c r="C7" s="2"/>
      <c r="D7" s="6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 x14ac:dyDescent="0.25">
      <c r="A8" s="2" t="s">
        <v>220</v>
      </c>
      <c r="B8" s="2"/>
      <c r="C8" s="2"/>
      <c r="D8" s="6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ht="15" x14ac:dyDescent="0.25">
      <c r="A9" s="2" t="s">
        <v>6</v>
      </c>
      <c r="B9" s="2"/>
      <c r="C9" s="2"/>
      <c r="D9" s="6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 t="s">
        <v>310</v>
      </c>
    </row>
    <row r="10" spans="1:22" ht="15" x14ac:dyDescent="0.25">
      <c r="A10" s="2"/>
      <c r="B10" s="2"/>
      <c r="C10" s="2"/>
      <c r="D10" s="6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153" t="s">
        <v>7</v>
      </c>
      <c r="B11" s="153"/>
      <c r="C11" s="153"/>
      <c r="D11" s="154" t="s">
        <v>309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17"/>
    </row>
    <row r="12" spans="1:22" x14ac:dyDescent="0.25">
      <c r="A12" s="149" t="s">
        <v>311</v>
      </c>
      <c r="B12" s="149"/>
      <c r="C12" s="149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 t="s">
        <v>8</v>
      </c>
    </row>
    <row r="13" spans="1:22" x14ac:dyDescent="0.25">
      <c r="A13" s="120"/>
      <c r="B13" s="155" t="s">
        <v>10</v>
      </c>
      <c r="C13" s="155"/>
      <c r="D13" s="120" t="s">
        <v>9</v>
      </c>
      <c r="E13" s="120" t="s">
        <v>11</v>
      </c>
      <c r="F13" s="156" t="s">
        <v>12</v>
      </c>
      <c r="G13" s="156"/>
      <c r="H13" s="156"/>
      <c r="I13" s="156"/>
      <c r="J13" s="156"/>
      <c r="K13" s="156"/>
      <c r="L13" s="155" t="s">
        <v>10</v>
      </c>
      <c r="M13" s="155"/>
      <c r="N13" s="120" t="s">
        <v>13</v>
      </c>
      <c r="O13" s="150" t="s">
        <v>14</v>
      </c>
      <c r="P13" s="150"/>
      <c r="Q13" s="150"/>
      <c r="R13" s="150"/>
      <c r="S13" s="150"/>
      <c r="T13" s="150"/>
      <c r="U13" s="121"/>
      <c r="V13" s="119" t="s">
        <v>15</v>
      </c>
    </row>
    <row r="14" spans="1:22" x14ac:dyDescent="0.25">
      <c r="A14" s="119" t="s">
        <v>16</v>
      </c>
      <c r="B14" s="149" t="s">
        <v>17</v>
      </c>
      <c r="C14" s="149"/>
      <c r="D14" s="119" t="s">
        <v>16</v>
      </c>
      <c r="E14" s="119" t="s">
        <v>18</v>
      </c>
      <c r="F14" s="118"/>
      <c r="G14" s="118"/>
      <c r="H14" s="118"/>
      <c r="I14" s="118"/>
      <c r="J14" s="118"/>
      <c r="K14" s="118"/>
      <c r="L14" s="149" t="s">
        <v>17</v>
      </c>
      <c r="M14" s="149"/>
      <c r="N14" s="119" t="s">
        <v>19</v>
      </c>
      <c r="O14" s="150" t="s">
        <v>20</v>
      </c>
      <c r="P14" s="150"/>
      <c r="Q14" s="150"/>
      <c r="R14" s="150"/>
      <c r="S14" s="150"/>
      <c r="T14" s="122" t="s">
        <v>21</v>
      </c>
      <c r="U14" s="123" t="s">
        <v>22</v>
      </c>
      <c r="V14" s="119" t="s">
        <v>23</v>
      </c>
    </row>
    <row r="15" spans="1:22" x14ac:dyDescent="0.25">
      <c r="A15" s="119" t="s">
        <v>24</v>
      </c>
      <c r="B15" s="120" t="s">
        <v>25</v>
      </c>
      <c r="C15" s="120" t="s">
        <v>26</v>
      </c>
      <c r="D15" s="119" t="s">
        <v>24</v>
      </c>
      <c r="E15" s="119" t="s">
        <v>27</v>
      </c>
      <c r="F15" s="120" t="s">
        <v>28</v>
      </c>
      <c r="G15" s="124" t="s">
        <v>29</v>
      </c>
      <c r="H15" s="124"/>
      <c r="I15" s="124" t="s">
        <v>30</v>
      </c>
      <c r="J15" s="124" t="s">
        <v>31</v>
      </c>
      <c r="K15" s="124" t="s">
        <v>305</v>
      </c>
      <c r="L15" s="120" t="s">
        <v>32</v>
      </c>
      <c r="M15" s="125" t="s">
        <v>33</v>
      </c>
      <c r="N15" s="119" t="s">
        <v>34</v>
      </c>
      <c r="O15" s="120" t="s">
        <v>28</v>
      </c>
      <c r="P15" s="120" t="s">
        <v>29</v>
      </c>
      <c r="Q15" s="124" t="s">
        <v>31</v>
      </c>
      <c r="R15" s="124" t="s">
        <v>305</v>
      </c>
      <c r="S15" s="124" t="s">
        <v>35</v>
      </c>
      <c r="T15" s="120" t="s">
        <v>36</v>
      </c>
      <c r="U15" s="123" t="s">
        <v>37</v>
      </c>
      <c r="V15" s="126"/>
    </row>
    <row r="16" spans="1:22" x14ac:dyDescent="0.25">
      <c r="A16" s="127"/>
      <c r="B16" s="127"/>
      <c r="C16" s="127"/>
      <c r="D16" s="127"/>
      <c r="E16" s="127"/>
      <c r="F16" s="127" t="s">
        <v>38</v>
      </c>
      <c r="G16" s="128" t="s">
        <v>39</v>
      </c>
      <c r="H16" s="128"/>
      <c r="I16" s="128" t="s">
        <v>40</v>
      </c>
      <c r="J16" s="128" t="s">
        <v>304</v>
      </c>
      <c r="K16" s="128" t="s">
        <v>306</v>
      </c>
      <c r="L16" s="127"/>
      <c r="M16" s="129"/>
      <c r="N16" s="127"/>
      <c r="O16" s="127" t="s">
        <v>38</v>
      </c>
      <c r="P16" s="127" t="s">
        <v>39</v>
      </c>
      <c r="Q16" s="128" t="s">
        <v>304</v>
      </c>
      <c r="R16" s="128" t="s">
        <v>306</v>
      </c>
      <c r="S16" s="128" t="s">
        <v>42</v>
      </c>
      <c r="T16" s="127" t="s">
        <v>43</v>
      </c>
      <c r="U16" s="130"/>
      <c r="V16" s="131"/>
    </row>
    <row r="17" spans="1:24" x14ac:dyDescent="0.25">
      <c r="A17" s="12"/>
      <c r="B17" s="13"/>
      <c r="C17" s="14"/>
      <c r="D17" s="15" t="s">
        <v>44</v>
      </c>
      <c r="E17" s="16"/>
      <c r="F17" s="17"/>
      <c r="G17" s="18"/>
      <c r="H17" s="18"/>
      <c r="I17" s="19"/>
      <c r="J17" s="19"/>
      <c r="K17" s="14"/>
      <c r="L17" s="13"/>
      <c r="M17" s="14"/>
      <c r="N17" s="13"/>
      <c r="O17" s="14"/>
      <c r="P17" s="14"/>
      <c r="Q17" s="14"/>
      <c r="R17" s="14"/>
      <c r="S17" s="14"/>
      <c r="T17" s="14"/>
      <c r="U17" s="14"/>
      <c r="V17" s="19"/>
    </row>
    <row r="18" spans="1:24" x14ac:dyDescent="0.25">
      <c r="A18" s="12"/>
      <c r="B18" s="13"/>
      <c r="C18" s="14"/>
      <c r="D18" s="20" t="s">
        <v>45</v>
      </c>
      <c r="E18" s="17"/>
      <c r="F18" s="17"/>
      <c r="G18" s="17"/>
      <c r="H18" s="17"/>
      <c r="I18" s="19"/>
      <c r="J18" s="19"/>
      <c r="K18" s="14"/>
      <c r="L18" s="13"/>
      <c r="M18" s="14"/>
      <c r="N18" s="13"/>
      <c r="O18" s="14"/>
      <c r="P18" s="14"/>
      <c r="Q18" s="14"/>
      <c r="R18" s="14"/>
      <c r="S18" s="14"/>
      <c r="T18" s="14"/>
      <c r="U18" s="14"/>
      <c r="V18" s="19"/>
    </row>
    <row r="19" spans="1:24" x14ac:dyDescent="0.25">
      <c r="A19" s="21" t="s">
        <v>46</v>
      </c>
      <c r="B19" s="22">
        <v>1</v>
      </c>
      <c r="C19" s="23">
        <v>1</v>
      </c>
      <c r="D19" s="23" t="s">
        <v>46</v>
      </c>
      <c r="E19" s="23">
        <v>1</v>
      </c>
      <c r="F19" s="39">
        <v>40.53</v>
      </c>
      <c r="G19" s="80">
        <f>940.31+30</f>
        <v>970.31</v>
      </c>
      <c r="H19" s="24">
        <v>30</v>
      </c>
      <c r="I19" s="47">
        <f>F19+G19-H19</f>
        <v>980.83999999999992</v>
      </c>
      <c r="J19" s="26">
        <v>4020.35</v>
      </c>
      <c r="K19" s="29"/>
      <c r="L19" s="22">
        <v>1</v>
      </c>
      <c r="M19" s="23">
        <v>1</v>
      </c>
      <c r="N19" s="13">
        <v>12</v>
      </c>
      <c r="O19" s="27">
        <f>+F19*L19*N19</f>
        <v>486.36</v>
      </c>
      <c r="P19" s="27">
        <f>G19*L19*N19</f>
        <v>11643.72</v>
      </c>
      <c r="Q19" s="27">
        <f>J19*L19*N19</f>
        <v>48244.2</v>
      </c>
      <c r="R19" s="27">
        <f>K19*L19*N19</f>
        <v>0</v>
      </c>
      <c r="S19" s="28">
        <f>IF(I19&lt;650,650*0.09,IF(I19&gt;650,I19*0.09))*12</f>
        <v>1059.3071999999997</v>
      </c>
      <c r="T19" s="26">
        <f>400+600+(600*0.09)*L19</f>
        <v>1054</v>
      </c>
      <c r="U19" s="26">
        <f>SUM(O19:T19)</f>
        <v>62487.587200000002</v>
      </c>
      <c r="V19" s="29" t="s">
        <v>47</v>
      </c>
    </row>
    <row r="20" spans="1:24" x14ac:dyDescent="0.25">
      <c r="A20" s="12"/>
      <c r="B20" s="23"/>
      <c r="C20" s="29"/>
      <c r="D20" s="29"/>
      <c r="E20" s="18"/>
      <c r="F20" s="39"/>
      <c r="G20" s="47"/>
      <c r="H20" s="18"/>
      <c r="I20" s="18"/>
      <c r="J20" s="18"/>
      <c r="K20" s="29"/>
      <c r="L20" s="23"/>
      <c r="M20" s="29"/>
      <c r="N20" s="13"/>
      <c r="O20" s="14"/>
      <c r="P20" s="14"/>
      <c r="Q20" s="14"/>
      <c r="R20" s="14"/>
      <c r="S20" s="14"/>
      <c r="T20" s="14"/>
      <c r="U20" s="14"/>
      <c r="V20" s="19"/>
    </row>
    <row r="21" spans="1:24" x14ac:dyDescent="0.25">
      <c r="A21" s="12"/>
      <c r="B21" s="23"/>
      <c r="C21" s="29"/>
      <c r="D21" s="15" t="s">
        <v>48</v>
      </c>
      <c r="E21" s="30"/>
      <c r="F21" s="47"/>
      <c r="G21" s="47"/>
      <c r="H21" s="18"/>
      <c r="I21" s="18"/>
      <c r="J21" s="18"/>
      <c r="K21" s="29"/>
      <c r="L21" s="23"/>
      <c r="M21" s="29"/>
      <c r="N21" s="13"/>
      <c r="O21" s="14"/>
      <c r="P21" s="14"/>
      <c r="Q21" s="14"/>
      <c r="R21" s="14"/>
      <c r="S21" s="14"/>
      <c r="T21" s="14"/>
      <c r="U21" s="14"/>
      <c r="V21" s="19"/>
    </row>
    <row r="22" spans="1:24" x14ac:dyDescent="0.25">
      <c r="A22" s="31" t="s">
        <v>49</v>
      </c>
      <c r="B22" s="22">
        <v>1</v>
      </c>
      <c r="C22" s="23">
        <v>1</v>
      </c>
      <c r="D22" s="32" t="s">
        <v>49</v>
      </c>
      <c r="E22" s="23">
        <v>2</v>
      </c>
      <c r="F22" s="38">
        <v>48.31</v>
      </c>
      <c r="G22" s="38">
        <f>14221.69+30</f>
        <v>14251.69</v>
      </c>
      <c r="H22" s="24">
        <v>30</v>
      </c>
      <c r="I22" s="94">
        <f t="shared" ref="I22:I27" si="0">F22+G22-H22</f>
        <v>14270</v>
      </c>
      <c r="J22" s="34"/>
      <c r="K22" s="26"/>
      <c r="L22" s="22">
        <v>1</v>
      </c>
      <c r="M22" s="23">
        <v>1</v>
      </c>
      <c r="N22" s="13">
        <v>12</v>
      </c>
      <c r="O22" s="27">
        <f t="shared" ref="O22:O27" si="1">+F22*L22*N22</f>
        <v>579.72</v>
      </c>
      <c r="P22" s="35">
        <f t="shared" ref="P22:P27" si="2">G22*L22*N22</f>
        <v>171020.28</v>
      </c>
      <c r="Q22" s="27">
        <f t="shared" ref="Q22:Q27" si="3">J22*L22*N22</f>
        <v>0</v>
      </c>
      <c r="R22" s="27">
        <f t="shared" ref="R22:R27" si="4">K22*L22*N22</f>
        <v>0</v>
      </c>
      <c r="S22" s="28">
        <f t="shared" ref="S22:S27" si="5">IF(I22&lt;650,650*0.09,IF(I22&gt;650,I22*0.09))*12</f>
        <v>15411.599999999999</v>
      </c>
      <c r="T22" s="26">
        <f t="shared" ref="T22:T27" si="6">400+600+(600*0.09)*L22</f>
        <v>1054</v>
      </c>
      <c r="U22" s="26">
        <f t="shared" ref="U22:U27" si="7">SUM(O22:T22)</f>
        <v>188065.6</v>
      </c>
      <c r="V22" s="36" t="s">
        <v>193</v>
      </c>
    </row>
    <row r="23" spans="1:24" x14ac:dyDescent="0.25">
      <c r="A23" s="31" t="s">
        <v>50</v>
      </c>
      <c r="B23" s="22">
        <v>1</v>
      </c>
      <c r="C23" s="23">
        <v>1</v>
      </c>
      <c r="D23" s="32" t="s">
        <v>50</v>
      </c>
      <c r="E23" s="23">
        <v>3</v>
      </c>
      <c r="F23" s="24">
        <v>44.53</v>
      </c>
      <c r="G23" s="24">
        <f>1034.95+30</f>
        <v>1064.95</v>
      </c>
      <c r="H23" s="24">
        <v>30</v>
      </c>
      <c r="I23" s="47">
        <f t="shared" si="0"/>
        <v>1079.48</v>
      </c>
      <c r="J23" s="26">
        <v>5094</v>
      </c>
      <c r="K23" s="26">
        <v>649.76</v>
      </c>
      <c r="L23" s="22">
        <v>1</v>
      </c>
      <c r="M23" s="23">
        <v>1</v>
      </c>
      <c r="N23" s="13">
        <v>12</v>
      </c>
      <c r="O23" s="27">
        <f t="shared" si="1"/>
        <v>534.36</v>
      </c>
      <c r="P23" s="35">
        <f t="shared" si="2"/>
        <v>12779.400000000001</v>
      </c>
      <c r="Q23" s="27">
        <f t="shared" si="3"/>
        <v>61128</v>
      </c>
      <c r="R23" s="27">
        <f t="shared" si="4"/>
        <v>7797.12</v>
      </c>
      <c r="S23" s="28">
        <f t="shared" si="5"/>
        <v>1165.8384000000001</v>
      </c>
      <c r="T23" s="26">
        <f t="shared" si="6"/>
        <v>1054</v>
      </c>
      <c r="U23" s="26">
        <f t="shared" si="7"/>
        <v>84458.718399999998</v>
      </c>
      <c r="V23" s="36" t="s">
        <v>51</v>
      </c>
    </row>
    <row r="24" spans="1:24" x14ac:dyDescent="0.25">
      <c r="A24" s="31" t="s">
        <v>46</v>
      </c>
      <c r="B24" s="22">
        <v>1</v>
      </c>
      <c r="C24" s="23">
        <v>1</v>
      </c>
      <c r="D24" s="32" t="s">
        <v>46</v>
      </c>
      <c r="E24" s="23">
        <v>4</v>
      </c>
      <c r="F24" s="24">
        <v>40.53</v>
      </c>
      <c r="G24" s="24">
        <f>940.31+30</f>
        <v>970.31</v>
      </c>
      <c r="H24" s="24">
        <v>30</v>
      </c>
      <c r="I24" s="47">
        <f t="shared" si="0"/>
        <v>980.83999999999992</v>
      </c>
      <c r="J24" s="26">
        <v>4020.35</v>
      </c>
      <c r="K24" s="26"/>
      <c r="L24" s="22">
        <v>1</v>
      </c>
      <c r="M24" s="23">
        <v>1</v>
      </c>
      <c r="N24" s="13">
        <v>12</v>
      </c>
      <c r="O24" s="27">
        <f t="shared" si="1"/>
        <v>486.36</v>
      </c>
      <c r="P24" s="35">
        <f t="shared" si="2"/>
        <v>11643.72</v>
      </c>
      <c r="Q24" s="27">
        <f t="shared" si="3"/>
        <v>48244.2</v>
      </c>
      <c r="R24" s="27">
        <f t="shared" si="4"/>
        <v>0</v>
      </c>
      <c r="S24" s="28">
        <f t="shared" si="5"/>
        <v>1059.3071999999997</v>
      </c>
      <c r="T24" s="26">
        <f t="shared" si="6"/>
        <v>1054</v>
      </c>
      <c r="U24" s="26">
        <f t="shared" si="7"/>
        <v>62487.587200000002</v>
      </c>
      <c r="V24" s="36" t="s">
        <v>52</v>
      </c>
    </row>
    <row r="25" spans="1:24" x14ac:dyDescent="0.25">
      <c r="A25" s="31" t="s">
        <v>53</v>
      </c>
      <c r="B25" s="22">
        <v>1</v>
      </c>
      <c r="C25" s="23">
        <v>1</v>
      </c>
      <c r="D25" s="32" t="s">
        <v>53</v>
      </c>
      <c r="E25" s="23">
        <v>5</v>
      </c>
      <c r="F25" s="24">
        <v>24.18</v>
      </c>
      <c r="G25" s="24">
        <f>471.46+50</f>
        <v>521.46</v>
      </c>
      <c r="H25" s="24">
        <v>50</v>
      </c>
      <c r="I25" s="47">
        <f t="shared" si="0"/>
        <v>495.64</v>
      </c>
      <c r="J25" s="26">
        <v>2074</v>
      </c>
      <c r="K25" s="26">
        <v>844.49</v>
      </c>
      <c r="L25" s="22">
        <v>1</v>
      </c>
      <c r="M25" s="23">
        <v>1</v>
      </c>
      <c r="N25" s="13">
        <v>12</v>
      </c>
      <c r="O25" s="27">
        <f t="shared" si="1"/>
        <v>290.15999999999997</v>
      </c>
      <c r="P25" s="35">
        <f t="shared" si="2"/>
        <v>6257.52</v>
      </c>
      <c r="Q25" s="27">
        <f t="shared" si="3"/>
        <v>24888</v>
      </c>
      <c r="R25" s="27">
        <f t="shared" si="4"/>
        <v>10133.880000000001</v>
      </c>
      <c r="S25" s="28">
        <f t="shared" si="5"/>
        <v>702</v>
      </c>
      <c r="T25" s="26">
        <f t="shared" si="6"/>
        <v>1054</v>
      </c>
      <c r="U25" s="26">
        <f t="shared" si="7"/>
        <v>43325.56</v>
      </c>
      <c r="V25" s="37" t="s">
        <v>54</v>
      </c>
      <c r="X25" t="s">
        <v>223</v>
      </c>
    </row>
    <row r="26" spans="1:24" x14ac:dyDescent="0.25">
      <c r="A26" s="31" t="s">
        <v>55</v>
      </c>
      <c r="B26" s="22">
        <v>1</v>
      </c>
      <c r="C26" s="23">
        <v>1</v>
      </c>
      <c r="D26" s="32" t="s">
        <v>55</v>
      </c>
      <c r="E26" s="23">
        <v>6</v>
      </c>
      <c r="F26" s="24">
        <v>23.99</v>
      </c>
      <c r="G26" s="24">
        <f>473.98+45</f>
        <v>518.98</v>
      </c>
      <c r="H26" s="24">
        <v>45</v>
      </c>
      <c r="I26" s="47">
        <f t="shared" si="0"/>
        <v>497.97</v>
      </c>
      <c r="J26" s="26">
        <v>2074</v>
      </c>
      <c r="K26" s="26">
        <v>844.49</v>
      </c>
      <c r="L26" s="22">
        <v>1</v>
      </c>
      <c r="M26" s="23">
        <v>1</v>
      </c>
      <c r="N26" s="13">
        <v>12</v>
      </c>
      <c r="O26" s="27">
        <f t="shared" si="1"/>
        <v>287.88</v>
      </c>
      <c r="P26" s="35">
        <f t="shared" si="2"/>
        <v>6227.76</v>
      </c>
      <c r="Q26" s="27">
        <f t="shared" si="3"/>
        <v>24888</v>
      </c>
      <c r="R26" s="27">
        <f t="shared" si="4"/>
        <v>10133.880000000001</v>
      </c>
      <c r="S26" s="28">
        <f t="shared" si="5"/>
        <v>702</v>
      </c>
      <c r="T26" s="26">
        <f t="shared" si="6"/>
        <v>1054</v>
      </c>
      <c r="U26" s="26">
        <f t="shared" si="7"/>
        <v>43293.520000000004</v>
      </c>
      <c r="V26" s="37" t="s">
        <v>56</v>
      </c>
      <c r="X26" t="s">
        <v>224</v>
      </c>
    </row>
    <row r="27" spans="1:24" x14ac:dyDescent="0.25">
      <c r="A27" s="31" t="s">
        <v>55</v>
      </c>
      <c r="B27" s="22">
        <v>1</v>
      </c>
      <c r="C27" s="23">
        <v>1</v>
      </c>
      <c r="D27" s="32" t="s">
        <v>55</v>
      </c>
      <c r="E27" s="23">
        <v>7</v>
      </c>
      <c r="F27" s="24">
        <v>23.99</v>
      </c>
      <c r="G27" s="24">
        <f>468.84+45</f>
        <v>513.83999999999992</v>
      </c>
      <c r="H27" s="24">
        <v>45</v>
      </c>
      <c r="I27" s="47">
        <f t="shared" si="0"/>
        <v>492.82999999999993</v>
      </c>
      <c r="J27" s="26">
        <v>2074</v>
      </c>
      <c r="K27" s="26">
        <v>844.49</v>
      </c>
      <c r="L27" s="22">
        <v>1</v>
      </c>
      <c r="M27" s="23">
        <v>1</v>
      </c>
      <c r="N27" s="13">
        <v>12</v>
      </c>
      <c r="O27" s="27">
        <f t="shared" si="1"/>
        <v>287.88</v>
      </c>
      <c r="P27" s="35">
        <f t="shared" si="2"/>
        <v>6166.079999999999</v>
      </c>
      <c r="Q27" s="27">
        <f t="shared" si="3"/>
        <v>24888</v>
      </c>
      <c r="R27" s="27">
        <f t="shared" si="4"/>
        <v>10133.880000000001</v>
      </c>
      <c r="S27" s="28">
        <f t="shared" si="5"/>
        <v>702</v>
      </c>
      <c r="T27" s="26">
        <f t="shared" si="6"/>
        <v>1054</v>
      </c>
      <c r="U27" s="26">
        <f t="shared" si="7"/>
        <v>43231.839999999997</v>
      </c>
      <c r="V27" s="37" t="s">
        <v>57</v>
      </c>
      <c r="X27" t="s">
        <v>225</v>
      </c>
    </row>
    <row r="28" spans="1:24" x14ac:dyDescent="0.25">
      <c r="A28" s="12"/>
      <c r="B28" s="22"/>
      <c r="C28" s="23"/>
      <c r="D28" s="14"/>
      <c r="E28" s="19"/>
      <c r="F28" s="19"/>
      <c r="G28" s="19"/>
      <c r="H28" s="19"/>
      <c r="I28" s="18"/>
      <c r="J28" s="18"/>
      <c r="K28" s="26"/>
      <c r="L28" s="22"/>
      <c r="M28" s="23"/>
      <c r="N28" s="44"/>
      <c r="O28" s="43"/>
      <c r="P28" s="43"/>
      <c r="Q28" s="43"/>
      <c r="R28" s="43"/>
      <c r="S28" s="43"/>
      <c r="T28" s="43"/>
      <c r="U28" s="43"/>
      <c r="V28" s="14"/>
    </row>
    <row r="29" spans="1:24" x14ac:dyDescent="0.25">
      <c r="A29" s="12"/>
      <c r="B29" s="22"/>
      <c r="C29" s="23"/>
      <c r="D29" s="15" t="s">
        <v>59</v>
      </c>
      <c r="E29" s="16"/>
      <c r="F29" s="17"/>
      <c r="G29" s="19"/>
      <c r="H29" s="19"/>
      <c r="I29" s="18"/>
      <c r="J29" s="18"/>
      <c r="K29" s="26"/>
      <c r="L29" s="22"/>
      <c r="M29" s="23"/>
      <c r="N29" s="44"/>
      <c r="O29" s="43"/>
      <c r="P29" s="43"/>
      <c r="Q29" s="43"/>
      <c r="R29" s="43"/>
      <c r="S29" s="43"/>
      <c r="T29" s="43"/>
      <c r="U29" s="43"/>
      <c r="V29" s="14"/>
    </row>
    <row r="30" spans="1:24" x14ac:dyDescent="0.25">
      <c r="A30" s="31" t="s">
        <v>60</v>
      </c>
      <c r="B30" s="22">
        <v>1</v>
      </c>
      <c r="C30" s="22">
        <v>1</v>
      </c>
      <c r="D30" s="32" t="s">
        <v>60</v>
      </c>
      <c r="E30" s="83">
        <v>8</v>
      </c>
      <c r="F30" s="24">
        <v>46.55</v>
      </c>
      <c r="G30" s="24">
        <f>13223.45+30</f>
        <v>13253.45</v>
      </c>
      <c r="H30" s="24">
        <v>30</v>
      </c>
      <c r="I30" s="47">
        <f>F30+G30-H30</f>
        <v>13270</v>
      </c>
      <c r="J30" s="26"/>
      <c r="K30" s="26"/>
      <c r="L30" s="22">
        <v>1</v>
      </c>
      <c r="M30" s="22">
        <v>1</v>
      </c>
      <c r="N30" s="13">
        <v>12</v>
      </c>
      <c r="O30" s="27">
        <f>+F30*L30*N30</f>
        <v>558.59999999999991</v>
      </c>
      <c r="P30" s="35">
        <f>G30*L30*N30</f>
        <v>159041.40000000002</v>
      </c>
      <c r="Q30" s="27">
        <f>J30*L30*N30</f>
        <v>0</v>
      </c>
      <c r="R30" s="27">
        <f>K30*L30*N30</f>
        <v>0</v>
      </c>
      <c r="S30" s="28">
        <f>IF(I30&lt;650,650*0.09,IF(I30&gt;650,I30*0.09))*12</f>
        <v>14331.599999999999</v>
      </c>
      <c r="T30" s="26">
        <f>400+600+(600*0.09)*L30</f>
        <v>1054</v>
      </c>
      <c r="U30" s="26">
        <f>SUM(O30:T30)</f>
        <v>174985.60000000003</v>
      </c>
      <c r="V30" s="36" t="s">
        <v>194</v>
      </c>
    </row>
    <row r="31" spans="1:24" x14ac:dyDescent="0.25">
      <c r="A31" s="31" t="s">
        <v>55</v>
      </c>
      <c r="B31" s="22">
        <v>1</v>
      </c>
      <c r="C31" s="22">
        <v>1</v>
      </c>
      <c r="D31" s="32" t="s">
        <v>55</v>
      </c>
      <c r="E31" s="83">
        <v>9</v>
      </c>
      <c r="F31" s="24">
        <v>23.99</v>
      </c>
      <c r="G31" s="24">
        <f>473.98+45</f>
        <v>518.98</v>
      </c>
      <c r="H31" s="24">
        <v>45</v>
      </c>
      <c r="I31" s="47">
        <f>F31+G31-H31</f>
        <v>497.97</v>
      </c>
      <c r="J31" s="26">
        <v>2074</v>
      </c>
      <c r="K31" s="26">
        <v>844.49</v>
      </c>
      <c r="L31" s="22">
        <v>1</v>
      </c>
      <c r="M31" s="22">
        <v>1</v>
      </c>
      <c r="N31" s="13">
        <v>12</v>
      </c>
      <c r="O31" s="27">
        <f>+F31*L31*N31</f>
        <v>287.88</v>
      </c>
      <c r="P31" s="35">
        <f>G31*L31*N31</f>
        <v>6227.76</v>
      </c>
      <c r="Q31" s="27">
        <f>J31*L31*N31</f>
        <v>24888</v>
      </c>
      <c r="R31" s="27">
        <f>K31*L31*N31</f>
        <v>10133.880000000001</v>
      </c>
      <c r="S31" s="28">
        <f>IF(I31&lt;650,650*0.09,IF(I31&gt;650,I31*0.09))*12</f>
        <v>702</v>
      </c>
      <c r="T31" s="26">
        <f>400+600+(600*0.09)*L31</f>
        <v>1054</v>
      </c>
      <c r="U31" s="26">
        <f>SUM(O31:T31)</f>
        <v>43293.520000000004</v>
      </c>
      <c r="V31" s="37" t="s">
        <v>54</v>
      </c>
      <c r="X31" t="s">
        <v>226</v>
      </c>
    </row>
    <row r="32" spans="1:24" x14ac:dyDescent="0.25">
      <c r="A32" s="12"/>
      <c r="B32" s="22"/>
      <c r="C32" s="23"/>
      <c r="D32" s="45"/>
      <c r="E32" s="45"/>
      <c r="F32" s="18"/>
      <c r="G32" s="43"/>
      <c r="H32" s="43"/>
      <c r="I32" s="26"/>
      <c r="J32" s="26"/>
      <c r="K32" s="26"/>
      <c r="L32" s="22"/>
      <c r="M32" s="23"/>
      <c r="N32" s="44"/>
      <c r="O32" s="43"/>
      <c r="P32" s="43"/>
      <c r="Q32" s="43"/>
      <c r="R32" s="43"/>
      <c r="S32" s="43"/>
      <c r="T32" s="43"/>
      <c r="U32" s="43"/>
      <c r="V32" s="14"/>
    </row>
    <row r="33" spans="1:24" x14ac:dyDescent="0.25">
      <c r="A33" s="12"/>
      <c r="B33" s="22"/>
      <c r="C33" s="23"/>
      <c r="D33" s="15" t="s">
        <v>61</v>
      </c>
      <c r="E33" s="16"/>
      <c r="F33" s="17"/>
      <c r="G33" s="46"/>
      <c r="H33" s="46"/>
      <c r="I33" s="26"/>
      <c r="J33" s="26"/>
      <c r="K33" s="26"/>
      <c r="L33" s="22"/>
      <c r="M33" s="23"/>
      <c r="N33" s="44"/>
      <c r="O33" s="43"/>
      <c r="P33" s="43"/>
      <c r="Q33" s="43"/>
      <c r="R33" s="43"/>
      <c r="S33" s="43"/>
      <c r="T33" s="43"/>
      <c r="U33" s="43"/>
      <c r="V33" s="14"/>
    </row>
    <row r="34" spans="1:24" x14ac:dyDescent="0.25">
      <c r="A34" s="31" t="s">
        <v>46</v>
      </c>
      <c r="B34" s="22">
        <v>1</v>
      </c>
      <c r="C34" s="23">
        <v>1</v>
      </c>
      <c r="D34" s="32" t="s">
        <v>46</v>
      </c>
      <c r="E34" s="23">
        <v>10</v>
      </c>
      <c r="F34" s="24">
        <v>40.53</v>
      </c>
      <c r="G34" s="24">
        <f>940.31+30</f>
        <v>970.31</v>
      </c>
      <c r="H34" s="24">
        <v>30</v>
      </c>
      <c r="I34" s="47">
        <f>F34+G34-H34</f>
        <v>980.83999999999992</v>
      </c>
      <c r="J34" s="26">
        <v>4020.35</v>
      </c>
      <c r="K34" s="26"/>
      <c r="L34" s="22">
        <v>1</v>
      </c>
      <c r="M34" s="23">
        <v>1</v>
      </c>
      <c r="N34" s="13">
        <v>12</v>
      </c>
      <c r="O34" s="27">
        <f>+F34*L34*N34</f>
        <v>486.36</v>
      </c>
      <c r="P34" s="35">
        <f>G34*L34*N34</f>
        <v>11643.72</v>
      </c>
      <c r="Q34" s="27">
        <f>J34*L34*N34</f>
        <v>48244.2</v>
      </c>
      <c r="R34" s="27">
        <f>K34*L34*N34</f>
        <v>0</v>
      </c>
      <c r="S34" s="28">
        <f>IF(I34&lt;650,650*0.09,IF(I34&gt;650,I34*0.09))*12</f>
        <v>1059.3071999999997</v>
      </c>
      <c r="T34" s="26">
        <f>400+600+(600*0.09)*L34</f>
        <v>1054</v>
      </c>
      <c r="U34" s="26">
        <f>SUM(O34:T34)</f>
        <v>62487.587200000002</v>
      </c>
      <c r="V34" s="36" t="s">
        <v>62</v>
      </c>
    </row>
    <row r="35" spans="1:24" x14ac:dyDescent="0.25">
      <c r="A35" s="12"/>
      <c r="B35" s="22"/>
      <c r="C35" s="23"/>
      <c r="D35" s="45"/>
      <c r="E35" s="45"/>
      <c r="F35" s="18"/>
      <c r="G35" s="43"/>
      <c r="H35" s="43"/>
      <c r="I35" s="26"/>
      <c r="J35" s="26"/>
      <c r="K35" s="26"/>
      <c r="L35" s="22"/>
      <c r="M35" s="23"/>
      <c r="N35" s="44"/>
      <c r="O35" s="43"/>
      <c r="P35" s="43"/>
      <c r="Q35" s="43"/>
      <c r="R35" s="43"/>
      <c r="S35" s="43"/>
      <c r="T35" s="43"/>
      <c r="U35" s="43"/>
      <c r="V35" s="14"/>
    </row>
    <row r="36" spans="1:24" x14ac:dyDescent="0.25">
      <c r="A36" s="12"/>
      <c r="B36" s="22"/>
      <c r="C36" s="23"/>
      <c r="D36" s="15" t="s">
        <v>63</v>
      </c>
      <c r="E36" s="16"/>
      <c r="F36" s="17"/>
      <c r="G36" s="43"/>
      <c r="H36" s="43"/>
      <c r="I36" s="26"/>
      <c r="J36" s="26"/>
      <c r="K36" s="26"/>
      <c r="L36" s="22"/>
      <c r="M36" s="23"/>
      <c r="N36" s="44"/>
      <c r="O36" s="43"/>
      <c r="P36" s="43"/>
      <c r="Q36" s="43"/>
      <c r="R36" s="43"/>
      <c r="S36" s="43"/>
      <c r="T36" s="43"/>
      <c r="U36" s="43"/>
      <c r="V36" s="14"/>
    </row>
    <row r="37" spans="1:24" x14ac:dyDescent="0.25">
      <c r="A37" s="31" t="s">
        <v>46</v>
      </c>
      <c r="B37" s="22">
        <v>1</v>
      </c>
      <c r="C37" s="23">
        <v>1</v>
      </c>
      <c r="D37" s="32" t="s">
        <v>46</v>
      </c>
      <c r="E37" s="83">
        <v>11</v>
      </c>
      <c r="F37" s="24">
        <v>40.53</v>
      </c>
      <c r="G37" s="24">
        <f>940.31+30</f>
        <v>970.31</v>
      </c>
      <c r="H37" s="24">
        <v>30</v>
      </c>
      <c r="I37" s="47">
        <f>F37+G37-H37</f>
        <v>980.83999999999992</v>
      </c>
      <c r="J37" s="26">
        <v>4020.35</v>
      </c>
      <c r="K37" s="40"/>
      <c r="L37" s="22">
        <v>1</v>
      </c>
      <c r="M37" s="23">
        <v>1</v>
      </c>
      <c r="N37" s="13">
        <v>12</v>
      </c>
      <c r="O37" s="27">
        <f>+F37*L37*N37</f>
        <v>486.36</v>
      </c>
      <c r="P37" s="35">
        <f>G37*L37*N37</f>
        <v>11643.72</v>
      </c>
      <c r="Q37" s="27">
        <f>J37*L37*N37</f>
        <v>48244.2</v>
      </c>
      <c r="R37" s="27">
        <f>K37*L37*N37</f>
        <v>0</v>
      </c>
      <c r="S37" s="28">
        <f>IF(I37&lt;650,650*0.09,IF(I37&gt;650,I37*0.09))*12</f>
        <v>1059.3071999999997</v>
      </c>
      <c r="T37" s="26">
        <f>400+600+(600*0.09)*L37</f>
        <v>1054</v>
      </c>
      <c r="U37" s="26">
        <f>SUM(O37:T37)</f>
        <v>62487.587200000002</v>
      </c>
      <c r="V37" s="37" t="s">
        <v>64</v>
      </c>
    </row>
    <row r="38" spans="1:24" x14ac:dyDescent="0.25">
      <c r="A38" s="31" t="s">
        <v>65</v>
      </c>
      <c r="B38" s="22">
        <v>1</v>
      </c>
      <c r="C38" s="23">
        <v>1</v>
      </c>
      <c r="D38" s="32" t="s">
        <v>65</v>
      </c>
      <c r="E38" s="83">
        <v>12</v>
      </c>
      <c r="F38" s="24">
        <v>30.1</v>
      </c>
      <c r="G38" s="24">
        <f>541.34+75</f>
        <v>616.34</v>
      </c>
      <c r="H38" s="24">
        <v>75</v>
      </c>
      <c r="I38" s="47">
        <f>F38+G38-H38</f>
        <v>571.44000000000005</v>
      </c>
      <c r="J38" s="26">
        <v>2479</v>
      </c>
      <c r="K38" s="26">
        <v>891.54</v>
      </c>
      <c r="L38" s="22">
        <v>1</v>
      </c>
      <c r="M38" s="23">
        <v>1</v>
      </c>
      <c r="N38" s="13">
        <v>12</v>
      </c>
      <c r="O38" s="27">
        <f>+F38*L38*N38</f>
        <v>361.20000000000005</v>
      </c>
      <c r="P38" s="35">
        <f>G38*L38*N38</f>
        <v>7396.08</v>
      </c>
      <c r="Q38" s="27">
        <f>J38*L38*N38</f>
        <v>29748</v>
      </c>
      <c r="R38" s="27">
        <f>K38*L38*N38</f>
        <v>10698.48</v>
      </c>
      <c r="S38" s="28">
        <f>IF(I38&lt;650,650*0.09,IF(I38&gt;650,I38*0.09))*12</f>
        <v>702</v>
      </c>
      <c r="T38" s="26">
        <f>400+600+(600*0.09)*L38</f>
        <v>1054</v>
      </c>
      <c r="U38" s="26">
        <f>SUM(O38:T38)</f>
        <v>49959.759999999995</v>
      </c>
      <c r="V38" s="37" t="s">
        <v>66</v>
      </c>
      <c r="X38" t="s">
        <v>227</v>
      </c>
    </row>
    <row r="39" spans="1:24" x14ac:dyDescent="0.25">
      <c r="A39" s="31" t="s">
        <v>65</v>
      </c>
      <c r="B39" s="22">
        <v>1</v>
      </c>
      <c r="C39" s="23">
        <v>1</v>
      </c>
      <c r="D39" s="32" t="s">
        <v>65</v>
      </c>
      <c r="E39" s="83">
        <v>13</v>
      </c>
      <c r="F39" s="24">
        <v>30.1</v>
      </c>
      <c r="G39" s="24">
        <f>640.09+75</f>
        <v>715.09</v>
      </c>
      <c r="H39" s="24">
        <v>75</v>
      </c>
      <c r="I39" s="47">
        <f>F39+G39-H39</f>
        <v>670.19</v>
      </c>
      <c r="J39" s="26">
        <v>2479</v>
      </c>
      <c r="K39" s="26">
        <v>891.54</v>
      </c>
      <c r="L39" s="22">
        <v>1</v>
      </c>
      <c r="M39" s="23">
        <v>1</v>
      </c>
      <c r="N39" s="13">
        <v>12</v>
      </c>
      <c r="O39" s="27">
        <f>+F39*L39*N39</f>
        <v>361.20000000000005</v>
      </c>
      <c r="P39" s="35">
        <f>G39*L39*N39</f>
        <v>8581.08</v>
      </c>
      <c r="Q39" s="27">
        <f>J39*L39*N39</f>
        <v>29748</v>
      </c>
      <c r="R39" s="27">
        <f>K39*L39*N39</f>
        <v>10698.48</v>
      </c>
      <c r="S39" s="28">
        <f>IF(I39&lt;650,650*0.09,IF(I39&gt;650,I39*0.09))*12</f>
        <v>723.80520000000001</v>
      </c>
      <c r="T39" s="26">
        <f>400+600+(600*0.09)*L39</f>
        <v>1054</v>
      </c>
      <c r="U39" s="26">
        <f>SUM(O39:T39)</f>
        <v>51166.565199999997</v>
      </c>
      <c r="V39" s="37" t="s">
        <v>67</v>
      </c>
      <c r="X39" t="s">
        <v>228</v>
      </c>
    </row>
    <row r="40" spans="1:24" x14ac:dyDescent="0.25">
      <c r="A40" s="31" t="s">
        <v>68</v>
      </c>
      <c r="B40" s="22">
        <v>1</v>
      </c>
      <c r="C40" s="23">
        <v>1</v>
      </c>
      <c r="D40" s="32" t="s">
        <v>68</v>
      </c>
      <c r="E40" s="83">
        <v>14</v>
      </c>
      <c r="F40" s="24">
        <v>23.86</v>
      </c>
      <c r="G40" s="24">
        <f>466.17+40</f>
        <v>506.17</v>
      </c>
      <c r="H40" s="24">
        <v>40</v>
      </c>
      <c r="I40" s="47">
        <f>F40+G40-H40</f>
        <v>490.03</v>
      </c>
      <c r="J40" s="26">
        <v>2074</v>
      </c>
      <c r="K40" s="26">
        <v>844.49</v>
      </c>
      <c r="L40" s="22">
        <v>1</v>
      </c>
      <c r="M40" s="23">
        <v>1</v>
      </c>
      <c r="N40" s="13">
        <v>12</v>
      </c>
      <c r="O40" s="27">
        <f>+F40*L40*N40</f>
        <v>286.32</v>
      </c>
      <c r="P40" s="35">
        <f>G40*L40*N40</f>
        <v>6074.04</v>
      </c>
      <c r="Q40" s="27">
        <f>J40*L40*N40</f>
        <v>24888</v>
      </c>
      <c r="R40" s="27">
        <f>K40*L40*N40</f>
        <v>10133.880000000001</v>
      </c>
      <c r="S40" s="28">
        <f>IF(I40&lt;650,650*0.09,IF(I40&gt;650,I40*0.09))*12</f>
        <v>702</v>
      </c>
      <c r="T40" s="26">
        <f>400+600+(600*0.09)*L40</f>
        <v>1054</v>
      </c>
      <c r="U40" s="26">
        <f>SUM(O40:T40)</f>
        <v>43138.240000000005</v>
      </c>
      <c r="V40" s="37" t="s">
        <v>69</v>
      </c>
      <c r="X40" t="s">
        <v>229</v>
      </c>
    </row>
    <row r="41" spans="1:24" x14ac:dyDescent="0.25">
      <c r="A41" s="12"/>
      <c r="B41" s="22"/>
      <c r="C41" s="23"/>
      <c r="D41" s="45"/>
      <c r="E41" s="45"/>
      <c r="F41" s="18"/>
      <c r="G41" s="43"/>
      <c r="H41" s="43"/>
      <c r="I41" s="26"/>
      <c r="J41" s="26"/>
      <c r="K41" s="26"/>
      <c r="L41" s="22"/>
      <c r="M41" s="23"/>
      <c r="N41" s="44"/>
      <c r="O41" s="43"/>
      <c r="P41" s="43"/>
      <c r="Q41" s="43"/>
      <c r="R41" s="43"/>
      <c r="S41" s="43"/>
      <c r="T41" s="43"/>
      <c r="U41" s="43"/>
      <c r="V41" s="14"/>
    </row>
    <row r="42" spans="1:24" x14ac:dyDescent="0.25">
      <c r="A42" s="12"/>
      <c r="B42" s="22"/>
      <c r="C42" s="23"/>
      <c r="D42" s="15" t="s">
        <v>70</v>
      </c>
      <c r="E42" s="16"/>
      <c r="F42" s="17"/>
      <c r="G42" s="43"/>
      <c r="H42" s="43"/>
      <c r="I42" s="26"/>
      <c r="J42" s="26"/>
      <c r="K42" s="26"/>
      <c r="L42" s="22"/>
      <c r="M42" s="23"/>
      <c r="N42" s="44"/>
      <c r="O42" s="43"/>
      <c r="P42" s="43"/>
      <c r="Q42" s="43"/>
      <c r="R42" s="43"/>
      <c r="S42" s="43"/>
      <c r="T42" s="43"/>
      <c r="U42" s="43"/>
      <c r="V42" s="14"/>
    </row>
    <row r="43" spans="1:24" x14ac:dyDescent="0.25">
      <c r="A43" s="31" t="s">
        <v>60</v>
      </c>
      <c r="B43" s="22">
        <v>1</v>
      </c>
      <c r="C43" s="23">
        <v>1</v>
      </c>
      <c r="D43" s="32" t="s">
        <v>60</v>
      </c>
      <c r="E43" s="83">
        <v>15</v>
      </c>
      <c r="F43" s="24">
        <v>46.55</v>
      </c>
      <c r="G43" s="24">
        <f>1183.41+30</f>
        <v>1213.4100000000001</v>
      </c>
      <c r="H43" s="24">
        <v>30</v>
      </c>
      <c r="I43" s="47">
        <f>F43+G43-H43</f>
        <v>1229.96</v>
      </c>
      <c r="J43" s="26">
        <v>7582.07</v>
      </c>
      <c r="K43" s="26"/>
      <c r="L43" s="22">
        <v>1</v>
      </c>
      <c r="M43" s="23">
        <v>1</v>
      </c>
      <c r="N43" s="13">
        <v>12</v>
      </c>
      <c r="O43" s="27">
        <f>+F43*L43*N43</f>
        <v>558.59999999999991</v>
      </c>
      <c r="P43" s="35">
        <f>G43*L43*N43</f>
        <v>14560.920000000002</v>
      </c>
      <c r="Q43" s="27">
        <f>J43*L43*N43</f>
        <v>90984.84</v>
      </c>
      <c r="R43" s="27">
        <f>K43*L43*N43</f>
        <v>0</v>
      </c>
      <c r="S43" s="28">
        <f>IF(I43&lt;650,650*0.09,IF(I43&gt;650,I43*0.09))*12</f>
        <v>1328.3568</v>
      </c>
      <c r="T43" s="26">
        <f>400+600+(600*0.09)*L43</f>
        <v>1054</v>
      </c>
      <c r="U43" s="26">
        <f>SUM(O43:T43)</f>
        <v>108486.71679999999</v>
      </c>
      <c r="V43" s="36" t="s">
        <v>71</v>
      </c>
    </row>
    <row r="44" spans="1:24" x14ac:dyDescent="0.25">
      <c r="A44" s="31" t="s">
        <v>46</v>
      </c>
      <c r="B44" s="22">
        <v>1</v>
      </c>
      <c r="C44" s="23">
        <v>1</v>
      </c>
      <c r="D44" s="32" t="s">
        <v>46</v>
      </c>
      <c r="E44" s="83">
        <v>16</v>
      </c>
      <c r="F44" s="24">
        <v>40.53</v>
      </c>
      <c r="G44" s="24">
        <f>940.31+30</f>
        <v>970.31</v>
      </c>
      <c r="H44" s="24">
        <v>30</v>
      </c>
      <c r="I44" s="47">
        <f>F44+G44-H44</f>
        <v>980.83999999999992</v>
      </c>
      <c r="J44" s="26">
        <v>4020.35</v>
      </c>
      <c r="K44" s="26"/>
      <c r="L44" s="22">
        <v>1</v>
      </c>
      <c r="M44" s="23">
        <v>1</v>
      </c>
      <c r="N44" s="13">
        <v>12</v>
      </c>
      <c r="O44" s="27">
        <f>+F44*L44*N44</f>
        <v>486.36</v>
      </c>
      <c r="P44" s="35">
        <f>G44*L44*N44</f>
        <v>11643.72</v>
      </c>
      <c r="Q44" s="27">
        <f>J44*L44*N44</f>
        <v>48244.2</v>
      </c>
      <c r="R44" s="27">
        <f>K44*L44*N44</f>
        <v>0</v>
      </c>
      <c r="S44" s="28">
        <f>IF(I44&lt;650,650*0.09,IF(I44&gt;650,I44*0.09))*12</f>
        <v>1059.3071999999997</v>
      </c>
      <c r="T44" s="26">
        <f>400+600+(600*0.09)*L44</f>
        <v>1054</v>
      </c>
      <c r="U44" s="26">
        <f>SUM(O44:T44)</f>
        <v>62487.587200000002</v>
      </c>
      <c r="V44" s="36" t="s">
        <v>52</v>
      </c>
    </row>
    <row r="45" spans="1:24" x14ac:dyDescent="0.25">
      <c r="A45" s="31" t="s">
        <v>55</v>
      </c>
      <c r="B45" s="22">
        <v>1</v>
      </c>
      <c r="C45" s="23">
        <v>1</v>
      </c>
      <c r="D45" s="32" t="s">
        <v>55</v>
      </c>
      <c r="E45" s="83">
        <v>17</v>
      </c>
      <c r="F45" s="24">
        <v>23.99</v>
      </c>
      <c r="G45" s="24">
        <f>473.98+45</f>
        <v>518.98</v>
      </c>
      <c r="H45" s="24">
        <v>45</v>
      </c>
      <c r="I45" s="47">
        <f>F45+G45-H45</f>
        <v>497.97</v>
      </c>
      <c r="J45" s="26">
        <v>2074</v>
      </c>
      <c r="K45" s="26">
        <v>844.49</v>
      </c>
      <c r="L45" s="22">
        <v>1</v>
      </c>
      <c r="M45" s="23">
        <v>1</v>
      </c>
      <c r="N45" s="13">
        <v>12</v>
      </c>
      <c r="O45" s="27">
        <f>+F45*L45*N45</f>
        <v>287.88</v>
      </c>
      <c r="P45" s="35">
        <f>G45*L45*N45</f>
        <v>6227.76</v>
      </c>
      <c r="Q45" s="27">
        <f>J45*L45*N45</f>
        <v>24888</v>
      </c>
      <c r="R45" s="27">
        <f>K45*L45*N45</f>
        <v>10133.880000000001</v>
      </c>
      <c r="S45" s="28">
        <f>IF(I45&lt;650,650*0.09,IF(I45&gt;650,I45*0.09))*12</f>
        <v>702</v>
      </c>
      <c r="T45" s="26">
        <f>400+600+(600*0.09)*L45</f>
        <v>1054</v>
      </c>
      <c r="U45" s="26">
        <f>SUM(O45:T45)</f>
        <v>43293.520000000004</v>
      </c>
      <c r="V45" s="37" t="s">
        <v>54</v>
      </c>
      <c r="X45" t="s">
        <v>230</v>
      </c>
    </row>
    <row r="46" spans="1:24" x14ac:dyDescent="0.25">
      <c r="A46" s="12"/>
      <c r="B46" s="22"/>
      <c r="C46" s="23"/>
      <c r="D46" s="45"/>
      <c r="E46" s="45"/>
      <c r="F46" s="18"/>
      <c r="G46" s="43"/>
      <c r="H46" s="43"/>
      <c r="I46" s="26"/>
      <c r="J46" s="26"/>
      <c r="K46" s="26"/>
      <c r="L46" s="22"/>
      <c r="M46" s="23"/>
      <c r="N46" s="44"/>
      <c r="O46" s="43"/>
      <c r="P46" s="43"/>
      <c r="Q46" s="43"/>
      <c r="R46" s="43"/>
      <c r="S46" s="43"/>
      <c r="T46" s="43"/>
      <c r="U46" s="43"/>
      <c r="V46" s="14"/>
    </row>
    <row r="47" spans="1:24" x14ac:dyDescent="0.25">
      <c r="A47" s="12"/>
      <c r="B47" s="22"/>
      <c r="C47" s="23"/>
      <c r="D47" s="15" t="s">
        <v>72</v>
      </c>
      <c r="E47" s="16"/>
      <c r="F47" s="17"/>
      <c r="G47" s="43"/>
      <c r="H47" s="43"/>
      <c r="I47" s="26"/>
      <c r="J47" s="26"/>
      <c r="K47" s="26"/>
      <c r="L47" s="22"/>
      <c r="M47" s="23"/>
      <c r="N47" s="44"/>
      <c r="O47" s="43"/>
      <c r="P47" s="43"/>
      <c r="Q47" s="43"/>
      <c r="R47" s="43"/>
      <c r="S47" s="43"/>
      <c r="T47" s="43"/>
      <c r="U47" s="43"/>
      <c r="V47" s="14"/>
    </row>
    <row r="48" spans="1:24" x14ac:dyDescent="0.25">
      <c r="A48" s="31" t="s">
        <v>73</v>
      </c>
      <c r="B48" s="22">
        <v>1</v>
      </c>
      <c r="C48" s="23">
        <v>1</v>
      </c>
      <c r="D48" s="32" t="s">
        <v>73</v>
      </c>
      <c r="E48" s="83">
        <v>18</v>
      </c>
      <c r="F48" s="24">
        <v>38.510000000000005</v>
      </c>
      <c r="G48" s="24">
        <f>884.57+30</f>
        <v>914.57</v>
      </c>
      <c r="H48" s="24">
        <v>30</v>
      </c>
      <c r="I48" s="47">
        <f>F48+G48-H48</f>
        <v>923.08</v>
      </c>
      <c r="J48" s="26">
        <v>3860.25</v>
      </c>
      <c r="K48" s="26"/>
      <c r="L48" s="22">
        <v>1</v>
      </c>
      <c r="M48" s="23">
        <v>1</v>
      </c>
      <c r="N48" s="13">
        <v>12</v>
      </c>
      <c r="O48" s="27">
        <f>+F48*L48*N48</f>
        <v>462.12000000000006</v>
      </c>
      <c r="P48" s="35">
        <f>G48*L48*N48</f>
        <v>10974.84</v>
      </c>
      <c r="Q48" s="27">
        <f>J48*L48*N48</f>
        <v>46323</v>
      </c>
      <c r="R48" s="27">
        <f>K48*L48*N48</f>
        <v>0</v>
      </c>
      <c r="S48" s="28">
        <f>IF(I48&lt;650,650*0.09,IF(I48&gt;650,I48*0.09))*12</f>
        <v>996.92640000000006</v>
      </c>
      <c r="T48" s="26">
        <f>400+600+(600*0.09)*L48</f>
        <v>1054</v>
      </c>
      <c r="U48" s="26">
        <f>SUM(O48:T48)</f>
        <v>59810.886399999996</v>
      </c>
      <c r="V48" s="36" t="s">
        <v>74</v>
      </c>
    </row>
    <row r="49" spans="1:24" x14ac:dyDescent="0.25">
      <c r="A49" s="31" t="s">
        <v>53</v>
      </c>
      <c r="B49" s="22">
        <v>1</v>
      </c>
      <c r="C49" s="23">
        <v>1</v>
      </c>
      <c r="D49" s="32" t="s">
        <v>53</v>
      </c>
      <c r="E49" s="83">
        <v>19</v>
      </c>
      <c r="F49" s="24">
        <v>24.18</v>
      </c>
      <c r="G49" s="24">
        <f>460.38+50</f>
        <v>510.38</v>
      </c>
      <c r="H49" s="24">
        <v>50</v>
      </c>
      <c r="I49" s="47">
        <f>F49+G49-H49</f>
        <v>484.55999999999995</v>
      </c>
      <c r="J49" s="26">
        <v>2074</v>
      </c>
      <c r="K49" s="26">
        <v>844.49</v>
      </c>
      <c r="L49" s="22">
        <v>1</v>
      </c>
      <c r="M49" s="23">
        <v>1</v>
      </c>
      <c r="N49" s="13">
        <v>12</v>
      </c>
      <c r="O49" s="27">
        <f>+F49*L49*N49</f>
        <v>290.15999999999997</v>
      </c>
      <c r="P49" s="35">
        <f>G49*L49*N49</f>
        <v>6124.5599999999995</v>
      </c>
      <c r="Q49" s="27">
        <f>J49*L49*N49</f>
        <v>24888</v>
      </c>
      <c r="R49" s="27">
        <f>K49*L49*N49</f>
        <v>10133.880000000001</v>
      </c>
      <c r="S49" s="28">
        <f>IF(I49&lt;650,650*0.09,IF(I49&gt;650,I49*0.09))*12</f>
        <v>702</v>
      </c>
      <c r="T49" s="26">
        <f>400+600+(600*0.09)*L49</f>
        <v>1054</v>
      </c>
      <c r="U49" s="26">
        <f>SUM(O49:T49)</f>
        <v>43192.600000000006</v>
      </c>
      <c r="V49" s="36" t="s">
        <v>75</v>
      </c>
      <c r="X49" t="s">
        <v>231</v>
      </c>
    </row>
    <row r="50" spans="1:24" x14ac:dyDescent="0.25">
      <c r="A50" s="31" t="s">
        <v>68</v>
      </c>
      <c r="B50" s="22">
        <v>1</v>
      </c>
      <c r="C50" s="23">
        <v>0</v>
      </c>
      <c r="D50" s="32"/>
      <c r="E50" s="83"/>
      <c r="F50" s="24"/>
      <c r="G50" s="24"/>
      <c r="H50" s="24"/>
      <c r="I50" s="47"/>
      <c r="J50" s="26"/>
      <c r="K50" s="26"/>
      <c r="L50" s="22"/>
      <c r="M50" s="23"/>
      <c r="N50" s="13"/>
      <c r="O50" s="27"/>
      <c r="P50" s="35"/>
      <c r="Q50" s="27"/>
      <c r="R50" s="27"/>
      <c r="S50" s="28"/>
      <c r="T50" s="26"/>
      <c r="U50" s="26"/>
      <c r="V50" s="36"/>
      <c r="X50" s="136" t="s">
        <v>232</v>
      </c>
    </row>
    <row r="51" spans="1:24" x14ac:dyDescent="0.25">
      <c r="A51" s="12"/>
      <c r="B51" s="22"/>
      <c r="C51" s="23"/>
      <c r="D51" s="45"/>
      <c r="E51" s="45"/>
      <c r="F51" s="18"/>
      <c r="G51" s="43"/>
      <c r="H51" s="43"/>
      <c r="I51" s="26"/>
      <c r="J51" s="26"/>
      <c r="K51" s="26"/>
      <c r="L51" s="22"/>
      <c r="M51" s="23"/>
      <c r="N51" s="44"/>
      <c r="O51" s="43"/>
      <c r="P51" s="43"/>
      <c r="Q51" s="43"/>
      <c r="R51" s="43"/>
      <c r="S51" s="43"/>
      <c r="T51" s="43"/>
      <c r="U51" s="43"/>
      <c r="V51" s="14"/>
    </row>
    <row r="52" spans="1:24" x14ac:dyDescent="0.25">
      <c r="A52" s="12"/>
      <c r="B52" s="22"/>
      <c r="C52" s="23"/>
      <c r="D52" s="15" t="s">
        <v>77</v>
      </c>
      <c r="E52" s="16"/>
      <c r="F52" s="17"/>
      <c r="G52" s="46"/>
      <c r="H52" s="46"/>
      <c r="I52" s="26"/>
      <c r="J52" s="26"/>
      <c r="K52" s="26"/>
      <c r="L52" s="22"/>
      <c r="M52" s="23"/>
      <c r="N52" s="44"/>
      <c r="O52" s="43"/>
      <c r="P52" s="43"/>
      <c r="Q52" s="43"/>
      <c r="R52" s="43"/>
      <c r="S52" s="43"/>
      <c r="T52" s="43"/>
      <c r="U52" s="43"/>
      <c r="V52" s="14"/>
    </row>
    <row r="53" spans="1:24" x14ac:dyDescent="0.25">
      <c r="A53" s="31" t="s">
        <v>78</v>
      </c>
      <c r="B53" s="22">
        <v>1</v>
      </c>
      <c r="C53" s="23">
        <v>1</v>
      </c>
      <c r="D53" s="32" t="s">
        <v>78</v>
      </c>
      <c r="E53" s="83">
        <v>20</v>
      </c>
      <c r="F53" s="24">
        <v>42.53</v>
      </c>
      <c r="G53" s="24">
        <f>979.2+30</f>
        <v>1009.2</v>
      </c>
      <c r="H53" s="24">
        <v>30</v>
      </c>
      <c r="I53" s="47">
        <f>F53+G53-H53</f>
        <v>1021.73</v>
      </c>
      <c r="J53" s="26">
        <v>4184.21</v>
      </c>
      <c r="K53" s="26"/>
      <c r="L53" s="22">
        <v>1</v>
      </c>
      <c r="M53" s="23">
        <v>1</v>
      </c>
      <c r="N53" s="13">
        <v>12</v>
      </c>
      <c r="O53" s="27">
        <f>+F53*L53*N53</f>
        <v>510.36</v>
      </c>
      <c r="P53" s="35">
        <f>G53*L53*N53</f>
        <v>12110.400000000001</v>
      </c>
      <c r="Q53" s="27">
        <f>J53*L53*N53</f>
        <v>50210.520000000004</v>
      </c>
      <c r="R53" s="27">
        <f>K53*L53*N53</f>
        <v>0</v>
      </c>
      <c r="S53" s="28">
        <f>IF(I53&lt;650,650*0.09,IF(I53&gt;650,I53*0.09))*12</f>
        <v>1103.4684</v>
      </c>
      <c r="T53" s="26">
        <f>400+600+(600*0.09)*L53</f>
        <v>1054</v>
      </c>
      <c r="U53" s="26">
        <f>SUM(O53:T53)</f>
        <v>64988.748400000004</v>
      </c>
      <c r="V53" s="37" t="s">
        <v>79</v>
      </c>
    </row>
    <row r="54" spans="1:24" x14ac:dyDescent="0.25">
      <c r="A54" s="31" t="s">
        <v>46</v>
      </c>
      <c r="B54" s="22">
        <v>1</v>
      </c>
      <c r="C54" s="23">
        <v>1</v>
      </c>
      <c r="D54" s="32" t="s">
        <v>46</v>
      </c>
      <c r="E54" s="83">
        <v>21</v>
      </c>
      <c r="F54" s="24">
        <v>40.53</v>
      </c>
      <c r="G54" s="24">
        <f>940.31+30</f>
        <v>970.31</v>
      </c>
      <c r="H54" s="24">
        <v>30</v>
      </c>
      <c r="I54" s="47">
        <f>F54+G54-H54</f>
        <v>980.83999999999992</v>
      </c>
      <c r="J54" s="26">
        <v>4020.35</v>
      </c>
      <c r="K54" s="26"/>
      <c r="L54" s="22">
        <v>1</v>
      </c>
      <c r="M54" s="23">
        <v>1</v>
      </c>
      <c r="N54" s="13">
        <v>12</v>
      </c>
      <c r="O54" s="27">
        <f>+F54*L54*N54</f>
        <v>486.36</v>
      </c>
      <c r="P54" s="35">
        <f>G54*L54*N54</f>
        <v>11643.72</v>
      </c>
      <c r="Q54" s="27">
        <f>J54*L54*N54</f>
        <v>48244.2</v>
      </c>
      <c r="R54" s="27">
        <f>K54*L54*N54</f>
        <v>0</v>
      </c>
      <c r="S54" s="28">
        <f>IF(I54&lt;650,650*0.09,IF(I54&gt;650,I54*0.09))*12</f>
        <v>1059.3071999999997</v>
      </c>
      <c r="T54" s="26">
        <f>400+600+(600*0.09)*L54</f>
        <v>1054</v>
      </c>
      <c r="U54" s="26">
        <f>SUM(O54:T54)</f>
        <v>62487.587200000002</v>
      </c>
      <c r="V54" s="37" t="s">
        <v>80</v>
      </c>
    </row>
    <row r="55" spans="1:24" x14ac:dyDescent="0.25">
      <c r="A55" s="31" t="s">
        <v>81</v>
      </c>
      <c r="B55" s="22">
        <v>1</v>
      </c>
      <c r="C55" s="23">
        <v>0</v>
      </c>
      <c r="D55" s="32"/>
      <c r="E55" s="83"/>
      <c r="F55" s="24"/>
      <c r="G55" s="24"/>
      <c r="H55" s="24"/>
      <c r="I55" s="47"/>
      <c r="J55" s="26"/>
      <c r="K55" s="26"/>
      <c r="L55" s="22"/>
      <c r="M55" s="23"/>
      <c r="N55" s="23"/>
      <c r="O55" s="27"/>
      <c r="P55" s="35"/>
      <c r="Q55" s="27"/>
      <c r="R55" s="27"/>
      <c r="S55" s="41"/>
      <c r="T55" s="26"/>
      <c r="U55" s="26"/>
      <c r="V55" s="37"/>
      <c r="X55" s="136" t="s">
        <v>232</v>
      </c>
    </row>
    <row r="56" spans="1:24" x14ac:dyDescent="0.25">
      <c r="A56" s="31" t="s">
        <v>81</v>
      </c>
      <c r="B56" s="22">
        <v>1</v>
      </c>
      <c r="C56" s="23">
        <v>1</v>
      </c>
      <c r="D56" s="32" t="s">
        <v>81</v>
      </c>
      <c r="E56" s="83">
        <v>22</v>
      </c>
      <c r="F56" s="24">
        <v>30.26</v>
      </c>
      <c r="G56" s="24">
        <f>793.51+82</f>
        <v>875.51</v>
      </c>
      <c r="H56" s="24">
        <v>82</v>
      </c>
      <c r="I56" s="47">
        <f>F56+G56-H56</f>
        <v>823.77</v>
      </c>
      <c r="J56" s="26">
        <v>2479</v>
      </c>
      <c r="K56" s="26">
        <v>891.54</v>
      </c>
      <c r="L56" s="22">
        <v>1</v>
      </c>
      <c r="M56" s="23">
        <v>1</v>
      </c>
      <c r="N56" s="23">
        <v>12</v>
      </c>
      <c r="O56" s="27">
        <f>+F56*L56*N56</f>
        <v>363.12</v>
      </c>
      <c r="P56" s="35">
        <f>G56*L56*N56</f>
        <v>10506.119999999999</v>
      </c>
      <c r="Q56" s="27">
        <f>J56*L56*N56</f>
        <v>29748</v>
      </c>
      <c r="R56" s="27">
        <f>K56*L56*N56</f>
        <v>10698.48</v>
      </c>
      <c r="S56" s="41">
        <f>IF(I56&lt;650,650*0.09,IF(I56&gt;650,I56*0.09))*12</f>
        <v>889.6715999999999</v>
      </c>
      <c r="T56" s="26">
        <f>400+600+(600*0.09)*L56</f>
        <v>1054</v>
      </c>
      <c r="U56" s="26">
        <f>SUM(O56:T56)</f>
        <v>53259.391600000003</v>
      </c>
      <c r="V56" s="37" t="s">
        <v>82</v>
      </c>
      <c r="X56" t="s">
        <v>233</v>
      </c>
    </row>
    <row r="57" spans="1:24" x14ac:dyDescent="0.25">
      <c r="A57" s="21"/>
      <c r="B57" s="22"/>
      <c r="C57" s="23"/>
      <c r="D57" s="45"/>
      <c r="E57" s="45"/>
      <c r="F57" s="18"/>
      <c r="G57" s="26"/>
      <c r="H57" s="26"/>
      <c r="I57" s="26"/>
      <c r="J57" s="26"/>
      <c r="K57" s="26"/>
      <c r="L57" s="22"/>
      <c r="M57" s="23"/>
      <c r="N57" s="48"/>
      <c r="O57" s="26"/>
      <c r="P57" s="26"/>
      <c r="Q57" s="26"/>
      <c r="R57" s="26"/>
      <c r="S57" s="26"/>
      <c r="T57" s="26"/>
      <c r="U57" s="26"/>
      <c r="V57" s="29"/>
    </row>
    <row r="58" spans="1:24" x14ac:dyDescent="0.25">
      <c r="A58" s="21"/>
      <c r="B58" s="22"/>
      <c r="C58" s="23"/>
      <c r="D58" s="20" t="s">
        <v>83</v>
      </c>
      <c r="E58" s="17"/>
      <c r="F58" s="17"/>
      <c r="G58" s="17"/>
      <c r="H58" s="17"/>
      <c r="I58" s="26"/>
      <c r="J58" s="26"/>
      <c r="K58" s="26"/>
      <c r="L58" s="22"/>
      <c r="M58" s="23"/>
      <c r="N58" s="48"/>
      <c r="O58" s="26"/>
      <c r="P58" s="26"/>
      <c r="Q58" s="26"/>
      <c r="R58" s="26"/>
      <c r="S58" s="26"/>
      <c r="T58" s="26"/>
      <c r="U58" s="26"/>
      <c r="V58" s="29"/>
    </row>
    <row r="59" spans="1:24" x14ac:dyDescent="0.25">
      <c r="A59" s="31" t="s">
        <v>65</v>
      </c>
      <c r="B59" s="22">
        <v>1</v>
      </c>
      <c r="C59" s="23">
        <v>0</v>
      </c>
      <c r="D59" s="32"/>
      <c r="E59" s="83"/>
      <c r="F59" s="24"/>
      <c r="G59" s="24"/>
      <c r="H59" s="24"/>
      <c r="I59" s="47"/>
      <c r="J59" s="26"/>
      <c r="K59" s="26"/>
      <c r="L59" s="22"/>
      <c r="M59" s="23"/>
      <c r="N59" s="23"/>
      <c r="O59" s="27"/>
      <c r="P59" s="35"/>
      <c r="Q59" s="27"/>
      <c r="R59" s="27"/>
      <c r="S59" s="41"/>
      <c r="T59" s="26"/>
      <c r="U59" s="26"/>
      <c r="V59" s="37"/>
      <c r="X59" s="136" t="s">
        <v>232</v>
      </c>
    </row>
    <row r="60" spans="1:24" x14ac:dyDescent="0.25">
      <c r="A60" s="21"/>
      <c r="B60" s="22"/>
      <c r="C60" s="23"/>
      <c r="D60" s="45"/>
      <c r="E60" s="45"/>
      <c r="F60" s="18"/>
      <c r="G60" s="26"/>
      <c r="H60" s="26"/>
      <c r="I60" s="26"/>
      <c r="J60" s="26"/>
      <c r="K60" s="26"/>
      <c r="L60" s="22"/>
      <c r="M60" s="23"/>
      <c r="N60" s="48"/>
      <c r="O60" s="26"/>
      <c r="P60" s="26"/>
      <c r="Q60" s="26"/>
      <c r="R60" s="26"/>
      <c r="S60" s="26"/>
      <c r="T60" s="26"/>
      <c r="U60" s="26"/>
      <c r="V60" s="29"/>
    </row>
    <row r="61" spans="1:24" x14ac:dyDescent="0.25">
      <c r="A61" s="21"/>
      <c r="B61" s="22"/>
      <c r="C61" s="23"/>
      <c r="D61" s="20" t="s">
        <v>84</v>
      </c>
      <c r="E61" s="17"/>
      <c r="F61" s="17"/>
      <c r="G61" s="17"/>
      <c r="H61" s="17"/>
      <c r="I61" s="26"/>
      <c r="J61" s="26"/>
      <c r="K61" s="26"/>
      <c r="L61" s="22"/>
      <c r="M61" s="23"/>
      <c r="N61" s="48"/>
      <c r="O61" s="26"/>
      <c r="P61" s="26"/>
      <c r="Q61" s="26"/>
      <c r="R61" s="26"/>
      <c r="S61" s="26"/>
      <c r="T61" s="26"/>
      <c r="U61" s="26"/>
      <c r="V61" s="29"/>
    </row>
    <row r="62" spans="1:24" x14ac:dyDescent="0.25">
      <c r="A62" s="31" t="s">
        <v>50</v>
      </c>
      <c r="B62" s="22">
        <v>1</v>
      </c>
      <c r="C62" s="23">
        <v>1</v>
      </c>
      <c r="D62" s="32" t="s">
        <v>50</v>
      </c>
      <c r="E62" s="83">
        <v>23</v>
      </c>
      <c r="F62" s="24">
        <v>44.53</v>
      </c>
      <c r="G62" s="24">
        <f>1034.95+30</f>
        <v>1064.95</v>
      </c>
      <c r="H62" s="24">
        <v>30</v>
      </c>
      <c r="I62" s="47">
        <f>F62+G62-H62</f>
        <v>1079.48</v>
      </c>
      <c r="J62" s="26">
        <v>5094</v>
      </c>
      <c r="K62" s="26">
        <v>649.76</v>
      </c>
      <c r="L62" s="22">
        <v>1</v>
      </c>
      <c r="M62" s="23">
        <v>1</v>
      </c>
      <c r="N62" s="23">
        <v>12</v>
      </c>
      <c r="O62" s="27">
        <f>+F62*L62*N62</f>
        <v>534.36</v>
      </c>
      <c r="P62" s="35">
        <f>G62*L62*N62</f>
        <v>12779.400000000001</v>
      </c>
      <c r="Q62" s="27">
        <f>J62*L62*N62</f>
        <v>61128</v>
      </c>
      <c r="R62" s="27">
        <f>K62*L62*N62</f>
        <v>7797.12</v>
      </c>
      <c r="S62" s="41">
        <f>IF(I62&lt;650,650*0.09,IF(I62&gt;650,I62*0.09))*12</f>
        <v>1165.8384000000001</v>
      </c>
      <c r="T62" s="26">
        <f>400+600+(600*0.09)*L62</f>
        <v>1054</v>
      </c>
      <c r="U62" s="26">
        <f>SUM(O62:T62)</f>
        <v>84458.718399999998</v>
      </c>
      <c r="V62" s="37" t="s">
        <v>85</v>
      </c>
    </row>
    <row r="63" spans="1:24" x14ac:dyDescent="0.25">
      <c r="A63" s="31" t="s">
        <v>73</v>
      </c>
      <c r="B63" s="22">
        <v>1</v>
      </c>
      <c r="C63" s="23">
        <v>1</v>
      </c>
      <c r="D63" s="32" t="s">
        <v>73</v>
      </c>
      <c r="E63" s="83">
        <v>24</v>
      </c>
      <c r="F63" s="24">
        <v>38.510000000000005</v>
      </c>
      <c r="G63" s="24">
        <f>891.86+H63</f>
        <v>981.86</v>
      </c>
      <c r="H63" s="24">
        <v>90</v>
      </c>
      <c r="I63" s="47">
        <f>F63+G63-H63</f>
        <v>930.37</v>
      </c>
      <c r="J63" s="26">
        <v>3568</v>
      </c>
      <c r="K63" s="26">
        <v>117.08</v>
      </c>
      <c r="L63" s="22">
        <v>1</v>
      </c>
      <c r="M63" s="23">
        <v>1</v>
      </c>
      <c r="N63" s="23">
        <v>12</v>
      </c>
      <c r="O63" s="27">
        <f>+F63*L63*N63</f>
        <v>462.12000000000006</v>
      </c>
      <c r="P63" s="35">
        <f>G63*L63*N63</f>
        <v>11782.32</v>
      </c>
      <c r="Q63" s="27">
        <f>J63*L63*N63</f>
        <v>42816</v>
      </c>
      <c r="R63" s="27">
        <f>K63*L63*N63</f>
        <v>1404.96</v>
      </c>
      <c r="S63" s="41">
        <f>IF(I63&lt;650,650*0.09,IF(I63&gt;650,I63*0.09))*12</f>
        <v>1004.7996000000001</v>
      </c>
      <c r="T63" s="26">
        <f>400+600+(600*0.09)*L63</f>
        <v>1054</v>
      </c>
      <c r="U63" s="26">
        <f>SUM(O63:T63)</f>
        <v>58524.1996</v>
      </c>
      <c r="V63" s="36" t="s">
        <v>86</v>
      </c>
      <c r="X63" t="s">
        <v>234</v>
      </c>
    </row>
    <row r="64" spans="1:24" x14ac:dyDescent="0.25">
      <c r="A64" s="31" t="s">
        <v>65</v>
      </c>
      <c r="B64" s="22">
        <v>1</v>
      </c>
      <c r="C64" s="23">
        <v>1</v>
      </c>
      <c r="D64" s="32" t="s">
        <v>65</v>
      </c>
      <c r="E64" s="83">
        <v>25</v>
      </c>
      <c r="F64" s="24">
        <v>30.1</v>
      </c>
      <c r="G64" s="24">
        <f>525.5+H64</f>
        <v>600.5</v>
      </c>
      <c r="H64" s="24">
        <v>75</v>
      </c>
      <c r="I64" s="47">
        <f>F64+G64-H64</f>
        <v>555.6</v>
      </c>
      <c r="J64" s="26">
        <v>2479</v>
      </c>
      <c r="K64" s="26">
        <v>891.54</v>
      </c>
      <c r="L64" s="22">
        <v>1</v>
      </c>
      <c r="M64" s="23">
        <v>1</v>
      </c>
      <c r="N64" s="23">
        <v>12</v>
      </c>
      <c r="O64" s="27">
        <f>+F64*L64*N64</f>
        <v>361.20000000000005</v>
      </c>
      <c r="P64" s="35">
        <f>G64*L64*N64</f>
        <v>7206</v>
      </c>
      <c r="Q64" s="27">
        <f>J64*L64*N64</f>
        <v>29748</v>
      </c>
      <c r="R64" s="27">
        <f>K64*L64*N64</f>
        <v>10698.48</v>
      </c>
      <c r="S64" s="41">
        <f>IF(I64&lt;650,650*0.09,IF(I64&gt;650,I64*0.09))*12</f>
        <v>702</v>
      </c>
      <c r="T64" s="26">
        <f>400+600+(600*0.09)*L64</f>
        <v>1054</v>
      </c>
      <c r="U64" s="26">
        <f>SUM(O64:T64)</f>
        <v>49769.679999999993</v>
      </c>
      <c r="V64" s="37" t="s">
        <v>87</v>
      </c>
      <c r="X64" t="s">
        <v>235</v>
      </c>
    </row>
    <row r="65" spans="1:24" x14ac:dyDescent="0.25">
      <c r="A65" s="31" t="s">
        <v>68</v>
      </c>
      <c r="B65" s="22">
        <v>1</v>
      </c>
      <c r="C65" s="23">
        <v>1</v>
      </c>
      <c r="D65" s="32" t="s">
        <v>68</v>
      </c>
      <c r="E65" s="83">
        <v>26</v>
      </c>
      <c r="F65" s="24">
        <v>23.86</v>
      </c>
      <c r="G65" s="24">
        <f>472.37+H65</f>
        <v>512.37</v>
      </c>
      <c r="H65" s="24">
        <v>40</v>
      </c>
      <c r="I65" s="47">
        <f>F65+G65-H65</f>
        <v>496.23</v>
      </c>
      <c r="J65" s="26">
        <v>2074</v>
      </c>
      <c r="K65" s="26">
        <v>844.49</v>
      </c>
      <c r="L65" s="22">
        <v>1</v>
      </c>
      <c r="M65" s="23">
        <v>1</v>
      </c>
      <c r="N65" s="23">
        <v>12</v>
      </c>
      <c r="O65" s="27">
        <f>+F65*L65*N65</f>
        <v>286.32</v>
      </c>
      <c r="P65" s="35">
        <f>G65*L65*N65</f>
        <v>6148.4400000000005</v>
      </c>
      <c r="Q65" s="27">
        <f>J65*L65*N65</f>
        <v>24888</v>
      </c>
      <c r="R65" s="27">
        <f>K65*L65*N65</f>
        <v>10133.880000000001</v>
      </c>
      <c r="S65" s="41">
        <f>IF(I65&lt;650,650*0.09,IF(I65&gt;650,I65*0.09))*12</f>
        <v>702</v>
      </c>
      <c r="T65" s="26">
        <f>400+600+(600*0.09)*L65</f>
        <v>1054</v>
      </c>
      <c r="U65" s="26">
        <f>SUM(O65:T65)</f>
        <v>43212.639999999999</v>
      </c>
      <c r="V65" s="49" t="s">
        <v>88</v>
      </c>
      <c r="X65" t="s">
        <v>236</v>
      </c>
    </row>
    <row r="66" spans="1:24" x14ac:dyDescent="0.25">
      <c r="A66" s="99" t="s">
        <v>55</v>
      </c>
      <c r="B66" s="100">
        <v>1</v>
      </c>
      <c r="C66" s="101">
        <v>1</v>
      </c>
      <c r="D66" s="102" t="s">
        <v>55</v>
      </c>
      <c r="E66" s="103">
        <v>27</v>
      </c>
      <c r="F66" s="104">
        <v>23.99</v>
      </c>
      <c r="G66" s="104">
        <f>473.99+H66</f>
        <v>518.99</v>
      </c>
      <c r="H66" s="104">
        <v>45</v>
      </c>
      <c r="I66" s="105">
        <f>F66+G66-H66</f>
        <v>497.98</v>
      </c>
      <c r="J66" s="134">
        <v>2074</v>
      </c>
      <c r="K66" s="106">
        <v>844.49</v>
      </c>
      <c r="L66" s="100">
        <v>1</v>
      </c>
      <c r="M66" s="101">
        <v>1</v>
      </c>
      <c r="N66" s="101">
        <v>12</v>
      </c>
      <c r="O66" s="107">
        <f>+F66*L66*N66</f>
        <v>287.88</v>
      </c>
      <c r="P66" s="108">
        <f>G66*L66*N66</f>
        <v>6227.88</v>
      </c>
      <c r="Q66" s="107">
        <f>J66*L66*N66</f>
        <v>24888</v>
      </c>
      <c r="R66" s="107">
        <f>K66*L66*N66</f>
        <v>10133.880000000001</v>
      </c>
      <c r="S66" s="109">
        <f>IF(I66&lt;650,650*0.09,IF(I66&gt;650,I66*0.09))*12</f>
        <v>702</v>
      </c>
      <c r="T66" s="106">
        <f>400+600+(600*0.09)*L66</f>
        <v>1054</v>
      </c>
      <c r="U66" s="106">
        <f>SUM(O66:T66)</f>
        <v>43293.64</v>
      </c>
      <c r="V66" s="110" t="s">
        <v>54</v>
      </c>
      <c r="X66" t="s">
        <v>237</v>
      </c>
    </row>
    <row r="67" spans="1:24" x14ac:dyDescent="0.25">
      <c r="A67" s="21"/>
      <c r="B67" s="22"/>
      <c r="C67" s="23"/>
      <c r="D67" s="45"/>
      <c r="E67" s="45"/>
      <c r="F67" s="18"/>
      <c r="G67" s="26"/>
      <c r="H67" s="26"/>
      <c r="I67" s="26"/>
      <c r="J67" s="26"/>
      <c r="K67" s="26"/>
      <c r="L67" s="22"/>
      <c r="M67" s="23"/>
      <c r="N67" s="48"/>
      <c r="O67" s="26"/>
      <c r="P67" s="26"/>
      <c r="Q67" s="26"/>
      <c r="R67" s="26"/>
      <c r="S67" s="26"/>
      <c r="T67" s="26"/>
      <c r="U67" s="26"/>
      <c r="V67" s="29"/>
    </row>
    <row r="68" spans="1:24" x14ac:dyDescent="0.25">
      <c r="A68" s="21"/>
      <c r="B68" s="22"/>
      <c r="C68" s="23"/>
      <c r="D68" s="20" t="s">
        <v>89</v>
      </c>
      <c r="E68" s="17"/>
      <c r="F68" s="17"/>
      <c r="G68" s="18"/>
      <c r="H68" s="18"/>
      <c r="I68" s="26"/>
      <c r="J68" s="26"/>
      <c r="K68" s="26"/>
      <c r="L68" s="22"/>
      <c r="M68" s="23"/>
      <c r="N68" s="48"/>
      <c r="O68" s="26"/>
      <c r="P68" s="26"/>
      <c r="Q68" s="26"/>
      <c r="R68" s="26"/>
      <c r="S68" s="26"/>
      <c r="T68" s="26"/>
      <c r="U68" s="26"/>
      <c r="V68" s="29"/>
    </row>
    <row r="69" spans="1:24" x14ac:dyDescent="0.25">
      <c r="A69" s="31" t="s">
        <v>50</v>
      </c>
      <c r="B69" s="22">
        <v>1</v>
      </c>
      <c r="C69" s="23">
        <v>1</v>
      </c>
      <c r="D69" s="32" t="s">
        <v>50</v>
      </c>
      <c r="E69" s="83">
        <v>28</v>
      </c>
      <c r="F69" s="24">
        <v>44.53</v>
      </c>
      <c r="G69" s="24">
        <f>1034.95+H69</f>
        <v>1064.95</v>
      </c>
      <c r="H69" s="24">
        <v>30</v>
      </c>
      <c r="I69" s="47">
        <f>F69+G69-H69</f>
        <v>1079.48</v>
      </c>
      <c r="J69" s="26">
        <v>5094</v>
      </c>
      <c r="K69" s="26">
        <v>649.76</v>
      </c>
      <c r="L69" s="22">
        <v>1</v>
      </c>
      <c r="M69" s="23">
        <v>1</v>
      </c>
      <c r="N69" s="23">
        <v>12</v>
      </c>
      <c r="O69" s="27">
        <f>+F69*L69*N69</f>
        <v>534.36</v>
      </c>
      <c r="P69" s="35">
        <f>G69*L69*N69</f>
        <v>12779.400000000001</v>
      </c>
      <c r="Q69" s="27">
        <f>J69*L69*N69</f>
        <v>61128</v>
      </c>
      <c r="R69" s="27">
        <f>K69*L69*N69</f>
        <v>7797.12</v>
      </c>
      <c r="S69" s="41">
        <f>IF(I69&lt;650,650*0.09,IF(I69&gt;650,I69*0.09))*12</f>
        <v>1165.8384000000001</v>
      </c>
      <c r="T69" s="26">
        <f>400+600+(600*0.09)*L69</f>
        <v>1054</v>
      </c>
      <c r="U69" s="26">
        <f>SUM(O69:T69)</f>
        <v>84458.718399999998</v>
      </c>
      <c r="V69" s="37" t="s">
        <v>195</v>
      </c>
    </row>
    <row r="70" spans="1:24" x14ac:dyDescent="0.25">
      <c r="A70" s="31" t="s">
        <v>53</v>
      </c>
      <c r="B70" s="22">
        <v>1</v>
      </c>
      <c r="C70" s="23">
        <v>1</v>
      </c>
      <c r="D70" s="32" t="s">
        <v>53</v>
      </c>
      <c r="E70" s="83">
        <v>29</v>
      </c>
      <c r="F70" s="24">
        <v>24.18</v>
      </c>
      <c r="G70" s="24">
        <f>471.46+H70</f>
        <v>521.46</v>
      </c>
      <c r="H70" s="24">
        <v>50</v>
      </c>
      <c r="I70" s="47">
        <f>F70+G70-H70</f>
        <v>495.64</v>
      </c>
      <c r="J70" s="26">
        <v>2074</v>
      </c>
      <c r="K70" s="26">
        <v>844.49</v>
      </c>
      <c r="L70" s="22">
        <v>1</v>
      </c>
      <c r="M70" s="23">
        <v>1</v>
      </c>
      <c r="N70" s="23">
        <v>12</v>
      </c>
      <c r="O70" s="27">
        <f>+F70*L70*N70</f>
        <v>290.15999999999997</v>
      </c>
      <c r="P70" s="35">
        <f>G70*L70*N70</f>
        <v>6257.52</v>
      </c>
      <c r="Q70" s="27">
        <f>J70*L70*N70</f>
        <v>24888</v>
      </c>
      <c r="R70" s="27">
        <f>K70*L70*N70</f>
        <v>10133.880000000001</v>
      </c>
      <c r="S70" s="41">
        <f>IF(I70&lt;650,650*0.09,IF(I70&gt;650,I70*0.09))*12</f>
        <v>702</v>
      </c>
      <c r="T70" s="26">
        <f>400+600+(600*0.09)*L70</f>
        <v>1054</v>
      </c>
      <c r="U70" s="26">
        <f>SUM(O70:T70)</f>
        <v>43325.56</v>
      </c>
      <c r="V70" s="37" t="s">
        <v>54</v>
      </c>
      <c r="X70" t="s">
        <v>238</v>
      </c>
    </row>
    <row r="71" spans="1:24" x14ac:dyDescent="0.25">
      <c r="A71" s="21"/>
      <c r="B71" s="22"/>
      <c r="C71" s="23"/>
      <c r="D71" s="45"/>
      <c r="E71" s="45"/>
      <c r="F71" s="18"/>
      <c r="G71" s="26"/>
      <c r="H71" s="26"/>
      <c r="I71" s="26"/>
      <c r="J71" s="26"/>
      <c r="K71" s="26"/>
      <c r="L71" s="22"/>
      <c r="M71" s="23"/>
      <c r="N71" s="48"/>
      <c r="O71" s="26"/>
      <c r="P71" s="26"/>
      <c r="Q71" s="26"/>
      <c r="R71" s="26"/>
      <c r="S71" s="26"/>
      <c r="T71" s="26"/>
      <c r="U71" s="26"/>
      <c r="V71" s="29"/>
    </row>
    <row r="72" spans="1:24" x14ac:dyDescent="0.25">
      <c r="A72" s="21"/>
      <c r="B72" s="22"/>
      <c r="C72" s="23"/>
      <c r="D72" s="20" t="s">
        <v>90</v>
      </c>
      <c r="E72" s="17"/>
      <c r="F72" s="17"/>
      <c r="G72" s="26"/>
      <c r="H72" s="26"/>
      <c r="I72" s="26"/>
      <c r="J72" s="26"/>
      <c r="K72" s="26"/>
      <c r="L72" s="22"/>
      <c r="M72" s="23"/>
      <c r="N72" s="48"/>
      <c r="O72" s="26"/>
      <c r="P72" s="26"/>
      <c r="Q72" s="26"/>
      <c r="R72" s="26"/>
      <c r="S72" s="26"/>
      <c r="T72" s="26"/>
      <c r="U72" s="26"/>
      <c r="V72" s="29"/>
    </row>
    <row r="73" spans="1:24" x14ac:dyDescent="0.25">
      <c r="A73" s="31" t="s">
        <v>73</v>
      </c>
      <c r="B73" s="22">
        <v>1</v>
      </c>
      <c r="C73" s="23">
        <v>1</v>
      </c>
      <c r="D73" s="32" t="s">
        <v>73</v>
      </c>
      <c r="E73" s="83">
        <v>30</v>
      </c>
      <c r="F73" s="24">
        <v>38.510000000000005</v>
      </c>
      <c r="G73" s="24">
        <f>884.57+H73</f>
        <v>914.57</v>
      </c>
      <c r="H73" s="24">
        <v>30</v>
      </c>
      <c r="I73" s="47">
        <f t="shared" ref="I73:I79" si="8">F73+G73-H73</f>
        <v>923.08</v>
      </c>
      <c r="J73" s="26">
        <v>3860.25</v>
      </c>
      <c r="K73" s="26"/>
      <c r="L73" s="22">
        <v>1</v>
      </c>
      <c r="M73" s="23">
        <v>1</v>
      </c>
      <c r="N73" s="23">
        <v>12</v>
      </c>
      <c r="O73" s="27">
        <f t="shared" ref="O73:O79" si="9">+F73*L73*N73</f>
        <v>462.12000000000006</v>
      </c>
      <c r="P73" s="35">
        <f t="shared" ref="P73:P79" si="10">G73*L73*N73</f>
        <v>10974.84</v>
      </c>
      <c r="Q73" s="27">
        <f t="shared" ref="Q73:Q79" si="11">J73*L73*N73</f>
        <v>46323</v>
      </c>
      <c r="R73" s="27">
        <f t="shared" ref="R73:R79" si="12">K73*L73*N73</f>
        <v>0</v>
      </c>
      <c r="S73" s="41">
        <f t="shared" ref="S73:S79" si="13">IF(I73&lt;650,650*0.09,IF(I73&gt;650,I73*0.09))*12</f>
        <v>996.92640000000006</v>
      </c>
      <c r="T73" s="26">
        <f t="shared" ref="T73:T79" si="14">400+600+(600*0.09)*L73</f>
        <v>1054</v>
      </c>
      <c r="U73" s="26">
        <f t="shared" ref="U73:U79" si="15">SUM(O73:T73)</f>
        <v>59810.886399999996</v>
      </c>
      <c r="V73" s="36" t="s">
        <v>196</v>
      </c>
    </row>
    <row r="74" spans="1:24" x14ac:dyDescent="0.25">
      <c r="A74" s="31" t="s">
        <v>65</v>
      </c>
      <c r="B74" s="22">
        <v>1</v>
      </c>
      <c r="C74" s="23">
        <v>1</v>
      </c>
      <c r="D74" s="32" t="s">
        <v>65</v>
      </c>
      <c r="E74" s="83">
        <v>31</v>
      </c>
      <c r="F74" s="24">
        <v>30.1</v>
      </c>
      <c r="G74" s="24">
        <f>525.5+H74</f>
        <v>600.5</v>
      </c>
      <c r="H74" s="24">
        <v>75</v>
      </c>
      <c r="I74" s="47">
        <f t="shared" si="8"/>
        <v>555.6</v>
      </c>
      <c r="J74" s="26">
        <v>2479</v>
      </c>
      <c r="K74" s="26">
        <v>891.54</v>
      </c>
      <c r="L74" s="22">
        <v>1</v>
      </c>
      <c r="M74" s="23">
        <v>1</v>
      </c>
      <c r="N74" s="23">
        <v>12</v>
      </c>
      <c r="O74" s="27">
        <f t="shared" si="9"/>
        <v>361.20000000000005</v>
      </c>
      <c r="P74" s="35">
        <f t="shared" si="10"/>
        <v>7206</v>
      </c>
      <c r="Q74" s="27">
        <f t="shared" si="11"/>
        <v>29748</v>
      </c>
      <c r="R74" s="27">
        <f t="shared" si="12"/>
        <v>10698.48</v>
      </c>
      <c r="S74" s="41">
        <f t="shared" si="13"/>
        <v>702</v>
      </c>
      <c r="T74" s="26">
        <f t="shared" si="14"/>
        <v>1054</v>
      </c>
      <c r="U74" s="26">
        <f t="shared" si="15"/>
        <v>49769.679999999993</v>
      </c>
      <c r="V74" s="37" t="s">
        <v>91</v>
      </c>
      <c r="X74" t="s">
        <v>239</v>
      </c>
    </row>
    <row r="75" spans="1:24" x14ac:dyDescent="0.25">
      <c r="A75" s="31" t="s">
        <v>53</v>
      </c>
      <c r="B75" s="22">
        <v>1</v>
      </c>
      <c r="C75" s="23">
        <v>1</v>
      </c>
      <c r="D75" s="32" t="s">
        <v>53</v>
      </c>
      <c r="E75" s="83">
        <v>32</v>
      </c>
      <c r="F75" s="24">
        <v>24.18</v>
      </c>
      <c r="G75" s="24">
        <f>633.69+H75</f>
        <v>683.69</v>
      </c>
      <c r="H75" s="24">
        <v>50</v>
      </c>
      <c r="I75" s="47">
        <f t="shared" si="8"/>
        <v>657.87</v>
      </c>
      <c r="J75" s="26">
        <v>2074</v>
      </c>
      <c r="K75" s="26">
        <v>844.49</v>
      </c>
      <c r="L75" s="22">
        <v>1</v>
      </c>
      <c r="M75" s="23">
        <v>1</v>
      </c>
      <c r="N75" s="23">
        <v>12</v>
      </c>
      <c r="O75" s="27">
        <f t="shared" si="9"/>
        <v>290.15999999999997</v>
      </c>
      <c r="P75" s="35">
        <f t="shared" si="10"/>
        <v>8204.2800000000007</v>
      </c>
      <c r="Q75" s="27">
        <f t="shared" si="11"/>
        <v>24888</v>
      </c>
      <c r="R75" s="27">
        <f t="shared" si="12"/>
        <v>10133.880000000001</v>
      </c>
      <c r="S75" s="41">
        <f t="shared" si="13"/>
        <v>710.49959999999999</v>
      </c>
      <c r="T75" s="26">
        <f t="shared" si="14"/>
        <v>1054</v>
      </c>
      <c r="U75" s="26">
        <f t="shared" si="15"/>
        <v>45280.81960000001</v>
      </c>
      <c r="V75" s="36" t="s">
        <v>92</v>
      </c>
      <c r="X75" t="s">
        <v>240</v>
      </c>
    </row>
    <row r="76" spans="1:24" x14ac:dyDescent="0.25">
      <c r="A76" s="31" t="s">
        <v>53</v>
      </c>
      <c r="B76" s="22">
        <v>1</v>
      </c>
      <c r="C76" s="23">
        <v>1</v>
      </c>
      <c r="D76" s="32" t="s">
        <v>53</v>
      </c>
      <c r="E76" s="83">
        <v>33</v>
      </c>
      <c r="F76" s="24">
        <v>24.18</v>
      </c>
      <c r="G76" s="24">
        <f>517.8+H76</f>
        <v>567.79999999999995</v>
      </c>
      <c r="H76" s="24">
        <v>50</v>
      </c>
      <c r="I76" s="47">
        <f t="shared" si="8"/>
        <v>541.9799999999999</v>
      </c>
      <c r="J76" s="26">
        <v>2074</v>
      </c>
      <c r="K76" s="26">
        <v>844.49</v>
      </c>
      <c r="L76" s="22">
        <v>1</v>
      </c>
      <c r="M76" s="23">
        <v>1</v>
      </c>
      <c r="N76" s="23">
        <v>12</v>
      </c>
      <c r="O76" s="27">
        <f t="shared" si="9"/>
        <v>290.15999999999997</v>
      </c>
      <c r="P76" s="35">
        <f t="shared" si="10"/>
        <v>6813.5999999999995</v>
      </c>
      <c r="Q76" s="27">
        <f t="shared" si="11"/>
        <v>24888</v>
      </c>
      <c r="R76" s="27">
        <f t="shared" si="12"/>
        <v>10133.880000000001</v>
      </c>
      <c r="S76" s="41">
        <f t="shared" si="13"/>
        <v>702</v>
      </c>
      <c r="T76" s="26">
        <f t="shared" si="14"/>
        <v>1054</v>
      </c>
      <c r="U76" s="26">
        <f t="shared" si="15"/>
        <v>43881.64</v>
      </c>
      <c r="V76" s="36" t="s">
        <v>92</v>
      </c>
      <c r="X76" t="s">
        <v>241</v>
      </c>
    </row>
    <row r="77" spans="1:24" x14ac:dyDescent="0.25">
      <c r="A77" s="31" t="s">
        <v>53</v>
      </c>
      <c r="B77" s="22">
        <v>1</v>
      </c>
      <c r="C77" s="23">
        <v>1</v>
      </c>
      <c r="D77" s="32" t="s">
        <v>53</v>
      </c>
      <c r="E77" s="83">
        <v>34</v>
      </c>
      <c r="F77" s="24">
        <v>24.18</v>
      </c>
      <c r="G77" s="24">
        <f>475.54+H77</f>
        <v>525.54</v>
      </c>
      <c r="H77" s="24">
        <v>50</v>
      </c>
      <c r="I77" s="47">
        <f t="shared" si="8"/>
        <v>499.71999999999991</v>
      </c>
      <c r="J77" s="26">
        <v>2074</v>
      </c>
      <c r="K77" s="26">
        <v>844.49</v>
      </c>
      <c r="L77" s="22">
        <v>1</v>
      </c>
      <c r="M77" s="23">
        <v>1</v>
      </c>
      <c r="N77" s="23">
        <v>12</v>
      </c>
      <c r="O77" s="27">
        <f t="shared" si="9"/>
        <v>290.15999999999997</v>
      </c>
      <c r="P77" s="35">
        <f t="shared" si="10"/>
        <v>6306.48</v>
      </c>
      <c r="Q77" s="27">
        <f t="shared" si="11"/>
        <v>24888</v>
      </c>
      <c r="R77" s="27">
        <f t="shared" si="12"/>
        <v>10133.880000000001</v>
      </c>
      <c r="S77" s="41">
        <f t="shared" si="13"/>
        <v>702</v>
      </c>
      <c r="T77" s="26">
        <f t="shared" si="14"/>
        <v>1054</v>
      </c>
      <c r="U77" s="26">
        <f t="shared" si="15"/>
        <v>43374.520000000004</v>
      </c>
      <c r="V77" s="36" t="s">
        <v>92</v>
      </c>
      <c r="X77" t="s">
        <v>242</v>
      </c>
    </row>
    <row r="78" spans="1:24" x14ac:dyDescent="0.25">
      <c r="A78" s="31" t="s">
        <v>55</v>
      </c>
      <c r="B78" s="22">
        <v>1</v>
      </c>
      <c r="C78" s="23">
        <v>1</v>
      </c>
      <c r="D78" s="32" t="s">
        <v>55</v>
      </c>
      <c r="E78" s="83">
        <v>35</v>
      </c>
      <c r="F78" s="24">
        <v>23.99</v>
      </c>
      <c r="G78" s="24">
        <f>473.98+H78</f>
        <v>518.98</v>
      </c>
      <c r="H78" s="24">
        <v>45</v>
      </c>
      <c r="I78" s="47">
        <f t="shared" si="8"/>
        <v>497.97</v>
      </c>
      <c r="J78" s="26">
        <v>2074</v>
      </c>
      <c r="K78" s="26">
        <v>844.49</v>
      </c>
      <c r="L78" s="22">
        <v>1</v>
      </c>
      <c r="M78" s="23">
        <v>1</v>
      </c>
      <c r="N78" s="23">
        <v>12</v>
      </c>
      <c r="O78" s="27">
        <f t="shared" si="9"/>
        <v>287.88</v>
      </c>
      <c r="P78" s="35">
        <f t="shared" si="10"/>
        <v>6227.76</v>
      </c>
      <c r="Q78" s="27">
        <f t="shared" si="11"/>
        <v>24888</v>
      </c>
      <c r="R78" s="27">
        <f t="shared" si="12"/>
        <v>10133.880000000001</v>
      </c>
      <c r="S78" s="41">
        <f t="shared" si="13"/>
        <v>702</v>
      </c>
      <c r="T78" s="26">
        <f t="shared" si="14"/>
        <v>1054</v>
      </c>
      <c r="U78" s="26">
        <f t="shared" si="15"/>
        <v>43293.520000000004</v>
      </c>
      <c r="V78" s="37" t="s">
        <v>54</v>
      </c>
      <c r="X78" t="s">
        <v>243</v>
      </c>
    </row>
    <row r="79" spans="1:24" x14ac:dyDescent="0.25">
      <c r="A79" s="31" t="s">
        <v>58</v>
      </c>
      <c r="B79" s="22">
        <v>1</v>
      </c>
      <c r="C79" s="23">
        <v>1</v>
      </c>
      <c r="D79" s="32" t="s">
        <v>58</v>
      </c>
      <c r="E79" s="83">
        <v>36</v>
      </c>
      <c r="F79" s="24">
        <v>23.39</v>
      </c>
      <c r="G79" s="24">
        <f>475.04+H79</f>
        <v>505.04</v>
      </c>
      <c r="H79" s="24">
        <v>30</v>
      </c>
      <c r="I79" s="47">
        <f t="shared" si="8"/>
        <v>498.43000000000006</v>
      </c>
      <c r="J79" s="26">
        <v>2074</v>
      </c>
      <c r="K79" s="26">
        <v>656.14</v>
      </c>
      <c r="L79" s="22">
        <v>1</v>
      </c>
      <c r="M79" s="23">
        <v>1</v>
      </c>
      <c r="N79" s="23">
        <v>12</v>
      </c>
      <c r="O79" s="27">
        <f t="shared" si="9"/>
        <v>280.68</v>
      </c>
      <c r="P79" s="35">
        <f t="shared" si="10"/>
        <v>6060.4800000000005</v>
      </c>
      <c r="Q79" s="27">
        <f t="shared" si="11"/>
        <v>24888</v>
      </c>
      <c r="R79" s="27">
        <f t="shared" si="12"/>
        <v>7873.68</v>
      </c>
      <c r="S79" s="41">
        <f t="shared" si="13"/>
        <v>702</v>
      </c>
      <c r="T79" s="26">
        <f t="shared" si="14"/>
        <v>1054</v>
      </c>
      <c r="U79" s="26">
        <f t="shared" si="15"/>
        <v>40858.839999999997</v>
      </c>
      <c r="V79" s="36" t="s">
        <v>93</v>
      </c>
      <c r="X79" t="s">
        <v>244</v>
      </c>
    </row>
    <row r="80" spans="1:24" x14ac:dyDescent="0.25">
      <c r="A80" s="21"/>
      <c r="B80" s="22"/>
      <c r="C80" s="23"/>
      <c r="D80" s="45"/>
      <c r="E80" s="45"/>
      <c r="F80" s="18"/>
      <c r="G80" s="26"/>
      <c r="H80" s="26"/>
      <c r="I80" s="26"/>
      <c r="J80" s="26"/>
      <c r="K80" s="26"/>
      <c r="L80" s="22"/>
      <c r="M80" s="23"/>
      <c r="N80" s="48"/>
      <c r="O80" s="26"/>
      <c r="P80" s="26"/>
      <c r="Q80" s="26"/>
      <c r="R80" s="26"/>
      <c r="S80" s="26"/>
      <c r="T80" s="26"/>
      <c r="U80" s="26"/>
      <c r="V80" s="29"/>
    </row>
    <row r="81" spans="1:24" x14ac:dyDescent="0.25">
      <c r="A81" s="21"/>
      <c r="B81" s="22"/>
      <c r="C81" s="23"/>
      <c r="D81" s="20" t="s">
        <v>94</v>
      </c>
      <c r="E81" s="17"/>
      <c r="F81" s="17"/>
      <c r="G81" s="26"/>
      <c r="H81" s="26"/>
      <c r="I81" s="26"/>
      <c r="J81" s="26"/>
      <c r="K81" s="26"/>
      <c r="L81" s="22"/>
      <c r="M81" s="23"/>
      <c r="N81" s="48"/>
      <c r="O81" s="26"/>
      <c r="P81" s="26"/>
      <c r="Q81" s="26"/>
      <c r="R81" s="26"/>
      <c r="S81" s="26"/>
      <c r="T81" s="26"/>
      <c r="U81" s="26"/>
      <c r="V81" s="29"/>
    </row>
    <row r="82" spans="1:24" x14ac:dyDescent="0.25">
      <c r="A82" s="31" t="s">
        <v>73</v>
      </c>
      <c r="B82" s="22">
        <v>1</v>
      </c>
      <c r="C82" s="23">
        <v>1</v>
      </c>
      <c r="D82" s="32" t="s">
        <v>73</v>
      </c>
      <c r="E82" s="83">
        <v>37</v>
      </c>
      <c r="F82" s="24">
        <v>38.510000000000005</v>
      </c>
      <c r="G82" s="24">
        <f>884.57+H82</f>
        <v>914.57</v>
      </c>
      <c r="H82" s="24">
        <v>30</v>
      </c>
      <c r="I82" s="47">
        <f t="shared" ref="I82:I88" si="16">F82+G82-H82</f>
        <v>923.08</v>
      </c>
      <c r="J82" s="26">
        <v>3860.25</v>
      </c>
      <c r="K82" s="26"/>
      <c r="L82" s="22">
        <v>1</v>
      </c>
      <c r="M82" s="23">
        <v>1</v>
      </c>
      <c r="N82" s="23">
        <v>12</v>
      </c>
      <c r="O82" s="27">
        <f t="shared" ref="O82:O88" si="17">+F82*L82*N82</f>
        <v>462.12000000000006</v>
      </c>
      <c r="P82" s="35">
        <f t="shared" ref="P82:P88" si="18">G82*L82*N82</f>
        <v>10974.84</v>
      </c>
      <c r="Q82" s="27">
        <f t="shared" ref="Q82:Q88" si="19">J82*L82*N82</f>
        <v>46323</v>
      </c>
      <c r="R82" s="27">
        <f t="shared" ref="R82:R88" si="20">K82*L82*N82</f>
        <v>0</v>
      </c>
      <c r="S82" s="41">
        <f t="shared" ref="S82:S88" si="21">IF(I82&lt;650,650*0.09,IF(I82&gt;650,I82*0.09))*12</f>
        <v>996.92640000000006</v>
      </c>
      <c r="T82" s="26">
        <f t="shared" ref="T82:T88" si="22">400+600+(600*0.09)*L82</f>
        <v>1054</v>
      </c>
      <c r="U82" s="26">
        <f t="shared" ref="U82:U88" si="23">SUM(O82:T82)</f>
        <v>59810.886399999996</v>
      </c>
      <c r="V82" s="36" t="s">
        <v>197</v>
      </c>
    </row>
    <row r="83" spans="1:24" x14ac:dyDescent="0.25">
      <c r="A83" s="31" t="s">
        <v>81</v>
      </c>
      <c r="B83" s="22">
        <v>1</v>
      </c>
      <c r="C83" s="23">
        <v>1</v>
      </c>
      <c r="D83" s="32" t="s">
        <v>81</v>
      </c>
      <c r="E83" s="83">
        <v>38</v>
      </c>
      <c r="F83" s="24">
        <v>30.26</v>
      </c>
      <c r="G83" s="24">
        <f>557.69+H83</f>
        <v>639.69000000000005</v>
      </c>
      <c r="H83" s="24">
        <v>82</v>
      </c>
      <c r="I83" s="47">
        <f t="shared" si="16"/>
        <v>587.95000000000005</v>
      </c>
      <c r="J83" s="26">
        <v>2479</v>
      </c>
      <c r="K83" s="26">
        <v>891.54</v>
      </c>
      <c r="L83" s="22">
        <v>1</v>
      </c>
      <c r="M83" s="23">
        <v>1</v>
      </c>
      <c r="N83" s="23">
        <v>12</v>
      </c>
      <c r="O83" s="27">
        <f t="shared" si="17"/>
        <v>363.12</v>
      </c>
      <c r="P83" s="35">
        <f t="shared" si="18"/>
        <v>7676.2800000000007</v>
      </c>
      <c r="Q83" s="27">
        <f t="shared" si="19"/>
        <v>29748</v>
      </c>
      <c r="R83" s="27">
        <f t="shared" si="20"/>
        <v>10698.48</v>
      </c>
      <c r="S83" s="41">
        <f t="shared" si="21"/>
        <v>702</v>
      </c>
      <c r="T83" s="26">
        <f t="shared" si="22"/>
        <v>1054</v>
      </c>
      <c r="U83" s="26">
        <f t="shared" si="23"/>
        <v>50241.880000000005</v>
      </c>
      <c r="V83" s="37" t="s">
        <v>95</v>
      </c>
      <c r="X83" t="s">
        <v>245</v>
      </c>
    </row>
    <row r="84" spans="1:24" x14ac:dyDescent="0.25">
      <c r="A84" s="31" t="s">
        <v>65</v>
      </c>
      <c r="B84" s="22">
        <v>1</v>
      </c>
      <c r="C84" s="23">
        <v>1</v>
      </c>
      <c r="D84" s="32" t="s">
        <v>65</v>
      </c>
      <c r="E84" s="83">
        <v>39</v>
      </c>
      <c r="F84" s="24">
        <v>30.1</v>
      </c>
      <c r="G84" s="24">
        <f>866.85+H84</f>
        <v>941.85</v>
      </c>
      <c r="H84" s="24">
        <v>75</v>
      </c>
      <c r="I84" s="47">
        <f t="shared" si="16"/>
        <v>896.95</v>
      </c>
      <c r="J84" s="26">
        <v>2479</v>
      </c>
      <c r="K84" s="26">
        <v>891.54</v>
      </c>
      <c r="L84" s="22">
        <v>1</v>
      </c>
      <c r="M84" s="23">
        <v>1</v>
      </c>
      <c r="N84" s="23">
        <v>12</v>
      </c>
      <c r="O84" s="27">
        <f t="shared" si="17"/>
        <v>361.20000000000005</v>
      </c>
      <c r="P84" s="35">
        <f t="shared" si="18"/>
        <v>11302.2</v>
      </c>
      <c r="Q84" s="27">
        <f t="shared" si="19"/>
        <v>29748</v>
      </c>
      <c r="R84" s="27">
        <f t="shared" si="20"/>
        <v>10698.48</v>
      </c>
      <c r="S84" s="41">
        <f t="shared" si="21"/>
        <v>968.7059999999999</v>
      </c>
      <c r="T84" s="26">
        <f t="shared" si="22"/>
        <v>1054</v>
      </c>
      <c r="U84" s="26">
        <f t="shared" si="23"/>
        <v>54132.586000000003</v>
      </c>
      <c r="V84" s="37" t="s">
        <v>96</v>
      </c>
      <c r="X84" t="s">
        <v>246</v>
      </c>
    </row>
    <row r="85" spans="1:24" x14ac:dyDescent="0.25">
      <c r="A85" s="31" t="s">
        <v>53</v>
      </c>
      <c r="B85" s="22">
        <v>1</v>
      </c>
      <c r="C85" s="23">
        <v>1</v>
      </c>
      <c r="D85" s="32" t="s">
        <v>53</v>
      </c>
      <c r="E85" s="83">
        <v>40</v>
      </c>
      <c r="F85" s="24">
        <v>24.18</v>
      </c>
      <c r="G85" s="24">
        <f>517.8+H85</f>
        <v>567.79999999999995</v>
      </c>
      <c r="H85" s="24">
        <v>50</v>
      </c>
      <c r="I85" s="47">
        <f t="shared" si="16"/>
        <v>541.9799999999999</v>
      </c>
      <c r="J85" s="26">
        <v>2074</v>
      </c>
      <c r="K85" s="26">
        <v>844.49</v>
      </c>
      <c r="L85" s="22">
        <v>1</v>
      </c>
      <c r="M85" s="23">
        <v>1</v>
      </c>
      <c r="N85" s="23">
        <v>12</v>
      </c>
      <c r="O85" s="27">
        <f t="shared" si="17"/>
        <v>290.15999999999997</v>
      </c>
      <c r="P85" s="35">
        <f t="shared" si="18"/>
        <v>6813.5999999999995</v>
      </c>
      <c r="Q85" s="27">
        <f t="shared" si="19"/>
        <v>24888</v>
      </c>
      <c r="R85" s="27">
        <f t="shared" si="20"/>
        <v>10133.880000000001</v>
      </c>
      <c r="S85" s="41">
        <f t="shared" si="21"/>
        <v>702</v>
      </c>
      <c r="T85" s="26">
        <f t="shared" si="22"/>
        <v>1054</v>
      </c>
      <c r="U85" s="26">
        <f t="shared" si="23"/>
        <v>43881.64</v>
      </c>
      <c r="V85" s="36" t="s">
        <v>92</v>
      </c>
      <c r="X85" t="s">
        <v>247</v>
      </c>
    </row>
    <row r="86" spans="1:24" x14ac:dyDescent="0.25">
      <c r="A86" s="31" t="s">
        <v>53</v>
      </c>
      <c r="B86" s="22">
        <v>1</v>
      </c>
      <c r="C86" s="23">
        <v>1</v>
      </c>
      <c r="D86" s="32" t="s">
        <v>53</v>
      </c>
      <c r="E86" s="83">
        <v>41</v>
      </c>
      <c r="F86" s="24">
        <v>24.18</v>
      </c>
      <c r="G86" s="24">
        <f>517.63+H86</f>
        <v>567.63</v>
      </c>
      <c r="H86" s="24">
        <v>50</v>
      </c>
      <c r="I86" s="47">
        <f t="shared" si="16"/>
        <v>541.80999999999995</v>
      </c>
      <c r="J86" s="26">
        <v>2074</v>
      </c>
      <c r="K86" s="26">
        <v>844.49</v>
      </c>
      <c r="L86" s="22">
        <v>1</v>
      </c>
      <c r="M86" s="23">
        <v>1</v>
      </c>
      <c r="N86" s="23">
        <v>12</v>
      </c>
      <c r="O86" s="27">
        <f t="shared" si="17"/>
        <v>290.15999999999997</v>
      </c>
      <c r="P86" s="35">
        <f t="shared" si="18"/>
        <v>6811.5599999999995</v>
      </c>
      <c r="Q86" s="27">
        <f t="shared" si="19"/>
        <v>24888</v>
      </c>
      <c r="R86" s="27">
        <f t="shared" si="20"/>
        <v>10133.880000000001</v>
      </c>
      <c r="S86" s="41">
        <f t="shared" si="21"/>
        <v>702</v>
      </c>
      <c r="T86" s="26">
        <f t="shared" si="22"/>
        <v>1054</v>
      </c>
      <c r="U86" s="26">
        <f t="shared" si="23"/>
        <v>43879.600000000006</v>
      </c>
      <c r="V86" s="36" t="s">
        <v>92</v>
      </c>
      <c r="X86" t="s">
        <v>230</v>
      </c>
    </row>
    <row r="87" spans="1:24" x14ac:dyDescent="0.25">
      <c r="A87" s="31" t="s">
        <v>53</v>
      </c>
      <c r="B87" s="22">
        <v>1</v>
      </c>
      <c r="C87" s="23">
        <v>1</v>
      </c>
      <c r="D87" s="32" t="s">
        <v>53</v>
      </c>
      <c r="E87" s="83">
        <v>42</v>
      </c>
      <c r="F87" s="24">
        <v>24.18</v>
      </c>
      <c r="G87" s="24">
        <f>475.54+H87</f>
        <v>525.54</v>
      </c>
      <c r="H87" s="24">
        <v>50</v>
      </c>
      <c r="I87" s="47">
        <f t="shared" si="16"/>
        <v>499.71999999999991</v>
      </c>
      <c r="J87" s="26">
        <v>2074</v>
      </c>
      <c r="K87" s="26">
        <v>844.49</v>
      </c>
      <c r="L87" s="22">
        <v>1</v>
      </c>
      <c r="M87" s="23">
        <v>1</v>
      </c>
      <c r="N87" s="23">
        <v>12</v>
      </c>
      <c r="O87" s="27">
        <f t="shared" si="17"/>
        <v>290.15999999999997</v>
      </c>
      <c r="P87" s="35">
        <f t="shared" si="18"/>
        <v>6306.48</v>
      </c>
      <c r="Q87" s="27">
        <f t="shared" si="19"/>
        <v>24888</v>
      </c>
      <c r="R87" s="27">
        <f t="shared" si="20"/>
        <v>10133.880000000001</v>
      </c>
      <c r="S87" s="41">
        <f t="shared" si="21"/>
        <v>702</v>
      </c>
      <c r="T87" s="26">
        <f t="shared" si="22"/>
        <v>1054</v>
      </c>
      <c r="U87" s="26">
        <f t="shared" si="23"/>
        <v>43374.520000000004</v>
      </c>
      <c r="V87" s="36" t="s">
        <v>92</v>
      </c>
      <c r="X87" t="s">
        <v>248</v>
      </c>
    </row>
    <row r="88" spans="1:24" x14ac:dyDescent="0.25">
      <c r="A88" s="31" t="s">
        <v>55</v>
      </c>
      <c r="B88" s="22">
        <v>1</v>
      </c>
      <c r="C88" s="23">
        <v>1</v>
      </c>
      <c r="D88" s="32" t="s">
        <v>55</v>
      </c>
      <c r="E88" s="83">
        <v>43</v>
      </c>
      <c r="F88" s="24">
        <v>23.99</v>
      </c>
      <c r="G88" s="24">
        <f>473.98+H88</f>
        <v>518.98</v>
      </c>
      <c r="H88" s="24">
        <v>45</v>
      </c>
      <c r="I88" s="47">
        <f t="shared" si="16"/>
        <v>497.97</v>
      </c>
      <c r="J88" s="26">
        <v>2074</v>
      </c>
      <c r="K88" s="26">
        <v>844.49</v>
      </c>
      <c r="L88" s="22">
        <v>1</v>
      </c>
      <c r="M88" s="23">
        <v>1</v>
      </c>
      <c r="N88" s="23">
        <v>12</v>
      </c>
      <c r="O88" s="27">
        <f t="shared" si="17"/>
        <v>287.88</v>
      </c>
      <c r="P88" s="35">
        <f t="shared" si="18"/>
        <v>6227.76</v>
      </c>
      <c r="Q88" s="27">
        <f t="shared" si="19"/>
        <v>24888</v>
      </c>
      <c r="R88" s="27">
        <f t="shared" si="20"/>
        <v>10133.880000000001</v>
      </c>
      <c r="S88" s="41">
        <f t="shared" si="21"/>
        <v>702</v>
      </c>
      <c r="T88" s="26">
        <f t="shared" si="22"/>
        <v>1054</v>
      </c>
      <c r="U88" s="26">
        <f t="shared" si="23"/>
        <v>43293.520000000004</v>
      </c>
      <c r="V88" s="37" t="s">
        <v>54</v>
      </c>
      <c r="X88" t="s">
        <v>249</v>
      </c>
    </row>
    <row r="89" spans="1:24" x14ac:dyDescent="0.25">
      <c r="A89" s="31"/>
      <c r="B89" s="22"/>
      <c r="C89" s="23"/>
      <c r="D89" s="32"/>
      <c r="E89" s="45"/>
      <c r="F89" s="24"/>
      <c r="G89" s="24"/>
      <c r="H89" s="24"/>
      <c r="I89" s="47"/>
      <c r="J89" s="26"/>
      <c r="K89" s="26"/>
      <c r="L89" s="22"/>
      <c r="M89" s="23"/>
      <c r="N89" s="23"/>
      <c r="O89" s="27"/>
      <c r="P89" s="35"/>
      <c r="Q89" s="27"/>
      <c r="R89" s="27"/>
      <c r="S89" s="41"/>
      <c r="T89" s="26"/>
      <c r="U89" s="26"/>
      <c r="V89" s="37"/>
    </row>
    <row r="90" spans="1:24" x14ac:dyDescent="0.25">
      <c r="A90" s="21"/>
      <c r="B90" s="22"/>
      <c r="C90" s="23"/>
      <c r="D90" s="20" t="s">
        <v>97</v>
      </c>
      <c r="E90" s="45"/>
      <c r="F90" s="18"/>
      <c r="G90" s="26"/>
      <c r="H90" s="26"/>
      <c r="I90" s="26"/>
      <c r="J90" s="26"/>
      <c r="K90" s="26"/>
      <c r="L90" s="22"/>
      <c r="M90" s="23"/>
      <c r="N90" s="48"/>
      <c r="O90" s="26"/>
      <c r="P90" s="26"/>
      <c r="Q90" s="26"/>
      <c r="R90" s="26"/>
      <c r="S90" s="26"/>
      <c r="T90" s="26"/>
      <c r="U90" s="26"/>
      <c r="V90" s="29"/>
    </row>
    <row r="91" spans="1:24" x14ac:dyDescent="0.25">
      <c r="A91" s="31" t="s">
        <v>73</v>
      </c>
      <c r="B91" s="22">
        <v>1</v>
      </c>
      <c r="C91" s="23">
        <v>1</v>
      </c>
      <c r="D91" s="32" t="s">
        <v>73</v>
      </c>
      <c r="E91" s="83">
        <v>44</v>
      </c>
      <c r="F91" s="24">
        <v>38.510000000000005</v>
      </c>
      <c r="G91" s="24">
        <f>884.57+H91</f>
        <v>914.57</v>
      </c>
      <c r="H91" s="24">
        <v>30</v>
      </c>
      <c r="I91" s="47">
        <f t="shared" ref="I91:I101" si="24">F91+G91-H91</f>
        <v>923.08</v>
      </c>
      <c r="J91" s="26">
        <v>3860.25</v>
      </c>
      <c r="K91" s="26"/>
      <c r="L91" s="22">
        <v>1</v>
      </c>
      <c r="M91" s="23">
        <v>1</v>
      </c>
      <c r="N91" s="23">
        <v>12</v>
      </c>
      <c r="O91" s="27">
        <f t="shared" ref="O91:O101" si="25">+F91*L91*N91</f>
        <v>462.12000000000006</v>
      </c>
      <c r="P91" s="35">
        <f t="shared" ref="P91:P101" si="26">G91*L91*N91</f>
        <v>10974.84</v>
      </c>
      <c r="Q91" s="27">
        <f t="shared" ref="Q91:Q101" si="27">J91*L91*N91</f>
        <v>46323</v>
      </c>
      <c r="R91" s="27">
        <f t="shared" ref="R91:R101" si="28">K91*L91*N91</f>
        <v>0</v>
      </c>
      <c r="S91" s="41">
        <f t="shared" ref="S91:S101" si="29">IF(I91&lt;650,650*0.09,IF(I91&gt;650,I91*0.09))*12</f>
        <v>996.92640000000006</v>
      </c>
      <c r="T91" s="26">
        <f t="shared" ref="T91:T101" si="30">400+600+(600*0.09)*L91</f>
        <v>1054</v>
      </c>
      <c r="U91" s="26">
        <f t="shared" ref="U91:U101" si="31">SUM(O91:T91)</f>
        <v>59810.886399999996</v>
      </c>
      <c r="V91" s="36" t="s">
        <v>198</v>
      </c>
    </row>
    <row r="92" spans="1:24" x14ac:dyDescent="0.25">
      <c r="A92" s="31" t="s">
        <v>98</v>
      </c>
      <c r="B92" s="22">
        <v>1</v>
      </c>
      <c r="C92" s="23">
        <v>1</v>
      </c>
      <c r="D92" s="32" t="s">
        <v>98</v>
      </c>
      <c r="E92" s="83">
        <v>45</v>
      </c>
      <c r="F92" s="24">
        <v>36.53</v>
      </c>
      <c r="G92" s="24">
        <f>858.37+H92</f>
        <v>948.37</v>
      </c>
      <c r="H92" s="24">
        <v>90</v>
      </c>
      <c r="I92" s="47">
        <f t="shared" si="24"/>
        <v>894.9</v>
      </c>
      <c r="J92" s="26">
        <v>3107</v>
      </c>
      <c r="K92" s="26">
        <v>445.3</v>
      </c>
      <c r="L92" s="22">
        <v>1</v>
      </c>
      <c r="M92" s="23">
        <v>1</v>
      </c>
      <c r="N92" s="23">
        <v>12</v>
      </c>
      <c r="O92" s="27">
        <f t="shared" si="25"/>
        <v>438.36</v>
      </c>
      <c r="P92" s="35">
        <f t="shared" si="26"/>
        <v>11380.44</v>
      </c>
      <c r="Q92" s="27">
        <f t="shared" si="27"/>
        <v>37284</v>
      </c>
      <c r="R92" s="27">
        <f t="shared" si="28"/>
        <v>5343.6</v>
      </c>
      <c r="S92" s="41">
        <f t="shared" si="29"/>
        <v>966.49199999999996</v>
      </c>
      <c r="T92" s="26">
        <f t="shared" si="30"/>
        <v>1054</v>
      </c>
      <c r="U92" s="26">
        <f t="shared" si="31"/>
        <v>56466.892</v>
      </c>
      <c r="V92" s="37" t="s">
        <v>99</v>
      </c>
      <c r="X92" t="s">
        <v>250</v>
      </c>
    </row>
    <row r="93" spans="1:24" x14ac:dyDescent="0.25">
      <c r="A93" s="31" t="s">
        <v>81</v>
      </c>
      <c r="B93" s="22">
        <v>1</v>
      </c>
      <c r="C93" s="23">
        <v>1</v>
      </c>
      <c r="D93" s="32" t="s">
        <v>81</v>
      </c>
      <c r="E93" s="83">
        <v>46</v>
      </c>
      <c r="F93" s="24">
        <v>30.26</v>
      </c>
      <c r="G93" s="24">
        <f>775.3+H93</f>
        <v>857.3</v>
      </c>
      <c r="H93" s="24">
        <v>82</v>
      </c>
      <c r="I93" s="47">
        <f t="shared" si="24"/>
        <v>805.56</v>
      </c>
      <c r="J93" s="26">
        <v>2479</v>
      </c>
      <c r="K93" s="26">
        <v>891.54</v>
      </c>
      <c r="L93" s="22">
        <v>1</v>
      </c>
      <c r="M93" s="23">
        <v>1</v>
      </c>
      <c r="N93" s="23">
        <v>12</v>
      </c>
      <c r="O93" s="27">
        <f t="shared" si="25"/>
        <v>363.12</v>
      </c>
      <c r="P93" s="35">
        <f t="shared" si="26"/>
        <v>10287.599999999999</v>
      </c>
      <c r="Q93" s="27">
        <f t="shared" si="27"/>
        <v>29748</v>
      </c>
      <c r="R93" s="27">
        <f t="shared" si="28"/>
        <v>10698.48</v>
      </c>
      <c r="S93" s="41">
        <f t="shared" si="29"/>
        <v>870.00479999999993</v>
      </c>
      <c r="T93" s="26">
        <f t="shared" si="30"/>
        <v>1054</v>
      </c>
      <c r="U93" s="26">
        <f t="shared" si="31"/>
        <v>53021.2048</v>
      </c>
      <c r="V93" s="37" t="s">
        <v>95</v>
      </c>
      <c r="X93" t="s">
        <v>251</v>
      </c>
    </row>
    <row r="94" spans="1:24" x14ac:dyDescent="0.25">
      <c r="A94" s="31" t="s">
        <v>81</v>
      </c>
      <c r="B94" s="22">
        <v>1</v>
      </c>
      <c r="C94" s="23">
        <v>1</v>
      </c>
      <c r="D94" s="32" t="s">
        <v>81</v>
      </c>
      <c r="E94" s="83">
        <v>47</v>
      </c>
      <c r="F94" s="24">
        <v>30.26</v>
      </c>
      <c r="G94" s="24">
        <f>703.6+H94</f>
        <v>785.6</v>
      </c>
      <c r="H94" s="24">
        <v>82</v>
      </c>
      <c r="I94" s="47">
        <f t="shared" si="24"/>
        <v>733.86</v>
      </c>
      <c r="J94" s="26">
        <v>2479</v>
      </c>
      <c r="K94" s="26">
        <v>891.54</v>
      </c>
      <c r="L94" s="22">
        <v>1</v>
      </c>
      <c r="M94" s="23">
        <v>1</v>
      </c>
      <c r="N94" s="23">
        <v>12</v>
      </c>
      <c r="O94" s="27">
        <f t="shared" si="25"/>
        <v>363.12</v>
      </c>
      <c r="P94" s="35">
        <f t="shared" si="26"/>
        <v>9427.2000000000007</v>
      </c>
      <c r="Q94" s="27">
        <f t="shared" si="27"/>
        <v>29748</v>
      </c>
      <c r="R94" s="27">
        <f t="shared" si="28"/>
        <v>10698.48</v>
      </c>
      <c r="S94" s="41">
        <f t="shared" si="29"/>
        <v>792.56880000000001</v>
      </c>
      <c r="T94" s="26">
        <f t="shared" si="30"/>
        <v>1054</v>
      </c>
      <c r="U94" s="26">
        <f t="shared" si="31"/>
        <v>52083.368800000004</v>
      </c>
      <c r="V94" s="37" t="s">
        <v>95</v>
      </c>
      <c r="X94" t="s">
        <v>252</v>
      </c>
    </row>
    <row r="95" spans="1:24" x14ac:dyDescent="0.25">
      <c r="A95" s="31" t="s">
        <v>65</v>
      </c>
      <c r="B95" s="22">
        <v>1</v>
      </c>
      <c r="C95" s="23">
        <v>1</v>
      </c>
      <c r="D95" s="32" t="s">
        <v>65</v>
      </c>
      <c r="E95" s="83">
        <v>48</v>
      </c>
      <c r="F95" s="24">
        <v>30.1</v>
      </c>
      <c r="G95" s="24">
        <f>541.34+H95</f>
        <v>616.34</v>
      </c>
      <c r="H95" s="24">
        <v>75</v>
      </c>
      <c r="I95" s="47">
        <f t="shared" si="24"/>
        <v>571.44000000000005</v>
      </c>
      <c r="J95" s="26">
        <v>2479</v>
      </c>
      <c r="K95" s="26">
        <v>891.54</v>
      </c>
      <c r="L95" s="22">
        <v>1</v>
      </c>
      <c r="M95" s="23">
        <v>1</v>
      </c>
      <c r="N95" s="23">
        <v>12</v>
      </c>
      <c r="O95" s="27">
        <f t="shared" si="25"/>
        <v>361.20000000000005</v>
      </c>
      <c r="P95" s="35">
        <f t="shared" si="26"/>
        <v>7396.08</v>
      </c>
      <c r="Q95" s="27">
        <f t="shared" si="27"/>
        <v>29748</v>
      </c>
      <c r="R95" s="27">
        <f t="shared" si="28"/>
        <v>10698.48</v>
      </c>
      <c r="S95" s="41">
        <f t="shared" si="29"/>
        <v>702</v>
      </c>
      <c r="T95" s="26">
        <f t="shared" si="30"/>
        <v>1054</v>
      </c>
      <c r="U95" s="26">
        <f t="shared" si="31"/>
        <v>49959.759999999995</v>
      </c>
      <c r="V95" s="37" t="s">
        <v>96</v>
      </c>
      <c r="X95" t="s">
        <v>253</v>
      </c>
    </row>
    <row r="96" spans="1:24" x14ac:dyDescent="0.25">
      <c r="A96" s="31" t="s">
        <v>65</v>
      </c>
      <c r="B96" s="22">
        <v>1</v>
      </c>
      <c r="C96" s="23">
        <v>1</v>
      </c>
      <c r="D96" s="32" t="s">
        <v>65</v>
      </c>
      <c r="E96" s="83">
        <v>49</v>
      </c>
      <c r="F96" s="24">
        <v>30.1</v>
      </c>
      <c r="G96" s="24">
        <f>591.28+H96</f>
        <v>666.28</v>
      </c>
      <c r="H96" s="24">
        <v>75</v>
      </c>
      <c r="I96" s="47">
        <f t="shared" si="24"/>
        <v>621.38</v>
      </c>
      <c r="J96" s="26">
        <v>2479</v>
      </c>
      <c r="K96" s="26">
        <v>891.54</v>
      </c>
      <c r="L96" s="22">
        <v>1</v>
      </c>
      <c r="M96" s="23">
        <v>1</v>
      </c>
      <c r="N96" s="23">
        <v>12</v>
      </c>
      <c r="O96" s="27">
        <f t="shared" si="25"/>
        <v>361.20000000000005</v>
      </c>
      <c r="P96" s="35">
        <f t="shared" si="26"/>
        <v>7995.36</v>
      </c>
      <c r="Q96" s="27">
        <f t="shared" si="27"/>
        <v>29748</v>
      </c>
      <c r="R96" s="27">
        <f t="shared" si="28"/>
        <v>10698.48</v>
      </c>
      <c r="S96" s="41">
        <f t="shared" si="29"/>
        <v>702</v>
      </c>
      <c r="T96" s="26">
        <f t="shared" si="30"/>
        <v>1054</v>
      </c>
      <c r="U96" s="26">
        <f t="shared" si="31"/>
        <v>50559.039999999994</v>
      </c>
      <c r="V96" s="37" t="s">
        <v>96</v>
      </c>
      <c r="X96" t="s">
        <v>254</v>
      </c>
    </row>
    <row r="97" spans="1:24" x14ac:dyDescent="0.25">
      <c r="A97" s="31" t="s">
        <v>65</v>
      </c>
      <c r="B97" s="22">
        <v>1</v>
      </c>
      <c r="C97" s="23">
        <v>1</v>
      </c>
      <c r="D97" s="32" t="s">
        <v>65</v>
      </c>
      <c r="E97" s="83">
        <v>50</v>
      </c>
      <c r="F97" s="24">
        <v>30.1</v>
      </c>
      <c r="G97" s="24">
        <f>632.3+H97</f>
        <v>707.3</v>
      </c>
      <c r="H97" s="24">
        <v>75</v>
      </c>
      <c r="I97" s="47">
        <f t="shared" si="24"/>
        <v>662.4</v>
      </c>
      <c r="J97" s="26">
        <v>2479</v>
      </c>
      <c r="K97" s="26">
        <v>891.54</v>
      </c>
      <c r="L97" s="22">
        <v>1</v>
      </c>
      <c r="M97" s="23">
        <v>1</v>
      </c>
      <c r="N97" s="23">
        <v>12</v>
      </c>
      <c r="O97" s="27">
        <f t="shared" si="25"/>
        <v>361.20000000000005</v>
      </c>
      <c r="P97" s="35">
        <f t="shared" si="26"/>
        <v>8487.5999999999985</v>
      </c>
      <c r="Q97" s="27">
        <f t="shared" si="27"/>
        <v>29748</v>
      </c>
      <c r="R97" s="27">
        <f t="shared" si="28"/>
        <v>10698.48</v>
      </c>
      <c r="S97" s="41">
        <f t="shared" si="29"/>
        <v>715.39199999999994</v>
      </c>
      <c r="T97" s="26">
        <f t="shared" si="30"/>
        <v>1054</v>
      </c>
      <c r="U97" s="26">
        <f t="shared" si="31"/>
        <v>51064.671999999999</v>
      </c>
      <c r="V97" s="37" t="s">
        <v>96</v>
      </c>
      <c r="X97" t="s">
        <v>255</v>
      </c>
    </row>
    <row r="98" spans="1:24" x14ac:dyDescent="0.25">
      <c r="A98" s="31" t="s">
        <v>53</v>
      </c>
      <c r="B98" s="22">
        <v>1</v>
      </c>
      <c r="C98" s="23">
        <v>0</v>
      </c>
      <c r="D98" s="32" t="s">
        <v>53</v>
      </c>
      <c r="E98" s="83"/>
      <c r="F98" s="24"/>
      <c r="G98" s="24"/>
      <c r="H98" s="24"/>
      <c r="I98" s="47"/>
      <c r="J98" s="26"/>
      <c r="K98" s="26"/>
      <c r="L98" s="22"/>
      <c r="M98" s="23"/>
      <c r="N98" s="23"/>
      <c r="O98" s="27"/>
      <c r="P98" s="35"/>
      <c r="Q98" s="27"/>
      <c r="R98" s="27"/>
      <c r="S98" s="41"/>
      <c r="T98" s="26"/>
      <c r="U98" s="26"/>
      <c r="V98" s="36"/>
      <c r="X98" s="136" t="s">
        <v>232</v>
      </c>
    </row>
    <row r="99" spans="1:24" x14ac:dyDescent="0.25">
      <c r="A99" s="31" t="s">
        <v>53</v>
      </c>
      <c r="B99" s="22">
        <v>1</v>
      </c>
      <c r="C99" s="23">
        <v>1</v>
      </c>
      <c r="D99" s="32" t="s">
        <v>53</v>
      </c>
      <c r="E99" s="83">
        <v>51</v>
      </c>
      <c r="F99" s="24">
        <v>24.18</v>
      </c>
      <c r="G99" s="24">
        <f>475.54+H99</f>
        <v>525.54</v>
      </c>
      <c r="H99" s="24">
        <v>50</v>
      </c>
      <c r="I99" s="47">
        <f t="shared" si="24"/>
        <v>499.71999999999991</v>
      </c>
      <c r="J99" s="26">
        <v>2074</v>
      </c>
      <c r="K99" s="26">
        <v>844.49</v>
      </c>
      <c r="L99" s="22">
        <v>1</v>
      </c>
      <c r="M99" s="23">
        <v>1</v>
      </c>
      <c r="N99" s="23">
        <v>12</v>
      </c>
      <c r="O99" s="27">
        <f t="shared" si="25"/>
        <v>290.15999999999997</v>
      </c>
      <c r="P99" s="35">
        <f t="shared" si="26"/>
        <v>6306.48</v>
      </c>
      <c r="Q99" s="27">
        <f t="shared" si="27"/>
        <v>24888</v>
      </c>
      <c r="R99" s="27">
        <f t="shared" si="28"/>
        <v>10133.880000000001</v>
      </c>
      <c r="S99" s="41">
        <f t="shared" si="29"/>
        <v>702</v>
      </c>
      <c r="T99" s="26">
        <f t="shared" si="30"/>
        <v>1054</v>
      </c>
      <c r="U99" s="26">
        <f t="shared" si="31"/>
        <v>43374.520000000004</v>
      </c>
      <c r="V99" s="36" t="s">
        <v>92</v>
      </c>
      <c r="X99" t="s">
        <v>256</v>
      </c>
    </row>
    <row r="100" spans="1:24" x14ac:dyDescent="0.25">
      <c r="A100" s="31" t="s">
        <v>53</v>
      </c>
      <c r="B100" s="22">
        <v>1</v>
      </c>
      <c r="C100" s="23">
        <v>1</v>
      </c>
      <c r="D100" s="32" t="s">
        <v>53</v>
      </c>
      <c r="E100" s="83">
        <v>52</v>
      </c>
      <c r="F100" s="24">
        <v>24.18</v>
      </c>
      <c r="G100" s="24">
        <f>477.98+H100</f>
        <v>527.98</v>
      </c>
      <c r="H100" s="24">
        <v>50</v>
      </c>
      <c r="I100" s="47">
        <f t="shared" si="24"/>
        <v>502.15999999999997</v>
      </c>
      <c r="J100" s="26">
        <v>2074</v>
      </c>
      <c r="K100" s="26">
        <v>844.49</v>
      </c>
      <c r="L100" s="22">
        <v>1</v>
      </c>
      <c r="M100" s="23">
        <v>1</v>
      </c>
      <c r="N100" s="23">
        <v>12</v>
      </c>
      <c r="O100" s="27">
        <f t="shared" si="25"/>
        <v>290.15999999999997</v>
      </c>
      <c r="P100" s="35">
        <f t="shared" si="26"/>
        <v>6335.76</v>
      </c>
      <c r="Q100" s="27">
        <f t="shared" si="27"/>
        <v>24888</v>
      </c>
      <c r="R100" s="27">
        <f t="shared" si="28"/>
        <v>10133.880000000001</v>
      </c>
      <c r="S100" s="41">
        <f t="shared" si="29"/>
        <v>702</v>
      </c>
      <c r="T100" s="26">
        <f t="shared" si="30"/>
        <v>1054</v>
      </c>
      <c r="U100" s="26">
        <f t="shared" si="31"/>
        <v>43403.8</v>
      </c>
      <c r="V100" s="36" t="s">
        <v>92</v>
      </c>
      <c r="X100" t="s">
        <v>257</v>
      </c>
    </row>
    <row r="101" spans="1:24" x14ac:dyDescent="0.25">
      <c r="A101" s="31" t="s">
        <v>55</v>
      </c>
      <c r="B101" s="22">
        <v>1</v>
      </c>
      <c r="C101" s="23">
        <v>1</v>
      </c>
      <c r="D101" s="32" t="s">
        <v>55</v>
      </c>
      <c r="E101" s="83">
        <v>53</v>
      </c>
      <c r="F101" s="24">
        <v>23.99</v>
      </c>
      <c r="G101" s="24">
        <f>473.98+H101</f>
        <v>518.98</v>
      </c>
      <c r="H101" s="24">
        <v>45</v>
      </c>
      <c r="I101" s="47">
        <f t="shared" si="24"/>
        <v>497.97</v>
      </c>
      <c r="J101" s="26">
        <v>2074</v>
      </c>
      <c r="K101" s="26">
        <v>844.49</v>
      </c>
      <c r="L101" s="22">
        <v>1</v>
      </c>
      <c r="M101" s="23">
        <v>1</v>
      </c>
      <c r="N101" s="23">
        <v>12</v>
      </c>
      <c r="O101" s="27">
        <f t="shared" si="25"/>
        <v>287.88</v>
      </c>
      <c r="P101" s="35">
        <f t="shared" si="26"/>
        <v>6227.76</v>
      </c>
      <c r="Q101" s="27">
        <f t="shared" si="27"/>
        <v>24888</v>
      </c>
      <c r="R101" s="27">
        <f t="shared" si="28"/>
        <v>10133.880000000001</v>
      </c>
      <c r="S101" s="41">
        <f t="shared" si="29"/>
        <v>702</v>
      </c>
      <c r="T101" s="26">
        <f t="shared" si="30"/>
        <v>1054</v>
      </c>
      <c r="U101" s="26">
        <f t="shared" si="31"/>
        <v>43293.520000000004</v>
      </c>
      <c r="V101" s="36" t="s">
        <v>100</v>
      </c>
      <c r="X101" t="s">
        <v>236</v>
      </c>
    </row>
    <row r="102" spans="1:24" x14ac:dyDescent="0.25">
      <c r="A102" s="31"/>
      <c r="B102" s="22"/>
      <c r="C102" s="23"/>
      <c r="D102" s="32"/>
      <c r="E102" s="29"/>
      <c r="F102" s="26"/>
      <c r="G102" s="26"/>
      <c r="H102" s="26"/>
      <c r="I102" s="26"/>
      <c r="J102" s="26"/>
      <c r="K102" s="26"/>
      <c r="L102" s="22"/>
      <c r="M102" s="23"/>
      <c r="N102" s="23"/>
      <c r="O102" s="26"/>
      <c r="P102" s="26"/>
      <c r="Q102" s="26"/>
      <c r="R102" s="26"/>
      <c r="S102" s="26"/>
      <c r="T102" s="26"/>
      <c r="U102" s="26"/>
      <c r="V102" s="36"/>
    </row>
    <row r="103" spans="1:24" x14ac:dyDescent="0.25">
      <c r="A103" s="31"/>
      <c r="B103" s="22"/>
      <c r="C103" s="23"/>
      <c r="D103" s="20" t="s">
        <v>101</v>
      </c>
      <c r="E103" s="17"/>
      <c r="F103" s="17"/>
      <c r="G103" s="26"/>
      <c r="H103" s="26"/>
      <c r="I103" s="26"/>
      <c r="J103" s="26"/>
      <c r="K103" s="26"/>
      <c r="L103" s="22"/>
      <c r="M103" s="23"/>
      <c r="N103" s="23"/>
      <c r="O103" s="26"/>
      <c r="P103" s="26"/>
      <c r="Q103" s="26"/>
      <c r="R103" s="26"/>
      <c r="S103" s="26"/>
      <c r="T103" s="26"/>
      <c r="U103" s="26"/>
      <c r="V103" s="36"/>
    </row>
    <row r="104" spans="1:24" x14ac:dyDescent="0.25">
      <c r="A104" s="31" t="s">
        <v>73</v>
      </c>
      <c r="B104" s="22">
        <v>1</v>
      </c>
      <c r="C104" s="23">
        <v>1</v>
      </c>
      <c r="D104" s="32" t="s">
        <v>73</v>
      </c>
      <c r="E104" s="83">
        <v>54</v>
      </c>
      <c r="F104" s="24">
        <v>38.510000000000005</v>
      </c>
      <c r="G104" s="24">
        <f>884.57+H104</f>
        <v>914.57</v>
      </c>
      <c r="H104" s="24">
        <v>30</v>
      </c>
      <c r="I104" s="47">
        <f>F104+G104-H104</f>
        <v>923.08</v>
      </c>
      <c r="J104" s="26">
        <v>3860.25</v>
      </c>
      <c r="K104" s="26"/>
      <c r="L104" s="22">
        <v>1</v>
      </c>
      <c r="M104" s="23">
        <v>1</v>
      </c>
      <c r="N104" s="23">
        <v>12</v>
      </c>
      <c r="O104" s="27">
        <f>+F104*L104*N104</f>
        <v>462.12000000000006</v>
      </c>
      <c r="P104" s="35">
        <f>G104*L104*N104</f>
        <v>10974.84</v>
      </c>
      <c r="Q104" s="27">
        <f>J104*L104*N104</f>
        <v>46323</v>
      </c>
      <c r="R104" s="27">
        <f>K104*L104*N104</f>
        <v>0</v>
      </c>
      <c r="S104" s="41">
        <f>IF(I104&lt;650,650*0.09,IF(I104&gt;650,I104*0.09))*12</f>
        <v>996.92640000000006</v>
      </c>
      <c r="T104" s="26">
        <f>400+600+(600*0.09)*L104</f>
        <v>1054</v>
      </c>
      <c r="U104" s="26">
        <f>SUM(O104:T104)</f>
        <v>59810.886399999996</v>
      </c>
      <c r="V104" s="36" t="s">
        <v>199</v>
      </c>
    </row>
    <row r="105" spans="1:24" x14ac:dyDescent="0.25">
      <c r="A105" s="31" t="s">
        <v>81</v>
      </c>
      <c r="B105" s="22">
        <v>1</v>
      </c>
      <c r="C105" s="23">
        <v>1</v>
      </c>
      <c r="D105" s="32" t="s">
        <v>81</v>
      </c>
      <c r="E105" s="83">
        <v>55</v>
      </c>
      <c r="F105" s="24">
        <v>30.26</v>
      </c>
      <c r="G105" s="24">
        <f>1406+H105</f>
        <v>1487.89</v>
      </c>
      <c r="H105" s="24">
        <v>81.89</v>
      </c>
      <c r="I105" s="47">
        <f>F105+G105-H105</f>
        <v>1436.26</v>
      </c>
      <c r="J105" s="26">
        <v>2479</v>
      </c>
      <c r="K105" s="26">
        <v>891.54</v>
      </c>
      <c r="L105" s="22">
        <v>1</v>
      </c>
      <c r="M105" s="23">
        <v>1</v>
      </c>
      <c r="N105" s="23">
        <v>12</v>
      </c>
      <c r="O105" s="27">
        <f>+F105*L105*N105</f>
        <v>363.12</v>
      </c>
      <c r="P105" s="35">
        <f>G105*L105*N105</f>
        <v>17854.68</v>
      </c>
      <c r="Q105" s="27">
        <f>J105*L105*N105</f>
        <v>29748</v>
      </c>
      <c r="R105" s="27">
        <f>K105*L105*N105</f>
        <v>10698.48</v>
      </c>
      <c r="S105" s="41">
        <f>IF(I105&lt;650,650*0.09,IF(I105&gt;650,I105*0.09))*12</f>
        <v>1551.1607999999999</v>
      </c>
      <c r="T105" s="26">
        <f>400+600+(600*0.09)*L105</f>
        <v>1054</v>
      </c>
      <c r="U105" s="26">
        <f>SUM(O105:T105)</f>
        <v>61269.440799999997</v>
      </c>
      <c r="V105" s="37" t="s">
        <v>95</v>
      </c>
      <c r="X105" t="s">
        <v>258</v>
      </c>
    </row>
    <row r="106" spans="1:24" x14ac:dyDescent="0.25">
      <c r="A106" s="31" t="s">
        <v>55</v>
      </c>
      <c r="B106" s="22">
        <v>1</v>
      </c>
      <c r="C106" s="23">
        <v>1</v>
      </c>
      <c r="D106" s="32" t="s">
        <v>55</v>
      </c>
      <c r="E106" s="83">
        <v>56</v>
      </c>
      <c r="F106" s="24">
        <v>23.99</v>
      </c>
      <c r="G106" s="24">
        <f>473.98+H106</f>
        <v>518.98</v>
      </c>
      <c r="H106" s="24">
        <v>45</v>
      </c>
      <c r="I106" s="47">
        <f>F106+G106-H106</f>
        <v>497.97</v>
      </c>
      <c r="J106" s="26">
        <v>2074</v>
      </c>
      <c r="K106" s="26">
        <v>844.49</v>
      </c>
      <c r="L106" s="22">
        <v>1</v>
      </c>
      <c r="M106" s="23">
        <v>1</v>
      </c>
      <c r="N106" s="23">
        <v>12</v>
      </c>
      <c r="O106" s="27">
        <f>+F106*L106*N106</f>
        <v>287.88</v>
      </c>
      <c r="P106" s="35">
        <f>G106*L106*N106</f>
        <v>6227.76</v>
      </c>
      <c r="Q106" s="27">
        <f>J106*L106*N106</f>
        <v>24888</v>
      </c>
      <c r="R106" s="27">
        <f>K106*L106*N106</f>
        <v>10133.880000000001</v>
      </c>
      <c r="S106" s="41">
        <f>IF(I106&lt;650,650*0.09,IF(I106&gt;650,I106*0.09))*12</f>
        <v>702</v>
      </c>
      <c r="T106" s="26">
        <f>400+600+(600*0.09)*L106</f>
        <v>1054</v>
      </c>
      <c r="U106" s="26">
        <f>SUM(O106:T106)</f>
        <v>43293.520000000004</v>
      </c>
      <c r="V106" s="36" t="s">
        <v>100</v>
      </c>
      <c r="X106" t="s">
        <v>259</v>
      </c>
    </row>
    <row r="107" spans="1:24" x14ac:dyDescent="0.25">
      <c r="A107" s="31"/>
      <c r="B107" s="22"/>
      <c r="C107" s="23"/>
      <c r="D107" s="32"/>
      <c r="E107" s="29"/>
      <c r="F107" s="26"/>
      <c r="G107" s="26"/>
      <c r="H107" s="26"/>
      <c r="I107" s="26"/>
      <c r="J107" s="26"/>
      <c r="K107" s="26"/>
      <c r="L107" s="22"/>
      <c r="M107" s="23"/>
      <c r="N107" s="23"/>
      <c r="O107" s="26"/>
      <c r="P107" s="26"/>
      <c r="Q107" s="26"/>
      <c r="R107" s="26"/>
      <c r="S107" s="26"/>
      <c r="T107" s="26"/>
      <c r="U107" s="26"/>
      <c r="V107" s="36"/>
    </row>
    <row r="108" spans="1:24" x14ac:dyDescent="0.25">
      <c r="A108" s="31"/>
      <c r="B108" s="22"/>
      <c r="C108" s="23"/>
      <c r="D108" s="20" t="s">
        <v>102</v>
      </c>
      <c r="E108" s="17"/>
      <c r="F108" s="17"/>
      <c r="G108" s="26"/>
      <c r="H108" s="26"/>
      <c r="I108" s="26"/>
      <c r="J108" s="26"/>
      <c r="K108" s="26"/>
      <c r="L108" s="22"/>
      <c r="M108" s="23"/>
      <c r="N108" s="23"/>
      <c r="O108" s="26"/>
      <c r="P108" s="26"/>
      <c r="Q108" s="26"/>
      <c r="R108" s="26"/>
      <c r="S108" s="26"/>
      <c r="T108" s="26"/>
      <c r="U108" s="26"/>
      <c r="V108" s="36"/>
    </row>
    <row r="109" spans="1:24" x14ac:dyDescent="0.25">
      <c r="A109" s="31" t="s">
        <v>73</v>
      </c>
      <c r="B109" s="22">
        <v>1</v>
      </c>
      <c r="C109" s="23">
        <v>1</v>
      </c>
      <c r="D109" s="32" t="s">
        <v>73</v>
      </c>
      <c r="E109" s="23">
        <v>57</v>
      </c>
      <c r="F109" s="24">
        <v>38.510000000000005</v>
      </c>
      <c r="G109" s="24">
        <f>884.57+H109</f>
        <v>914.57</v>
      </c>
      <c r="H109" s="24">
        <v>30</v>
      </c>
      <c r="I109" s="47">
        <f t="shared" ref="I109:I119" si="32">F109+G109-H109</f>
        <v>923.08</v>
      </c>
      <c r="J109" s="26">
        <v>3860.25</v>
      </c>
      <c r="K109" s="26"/>
      <c r="L109" s="22">
        <v>1</v>
      </c>
      <c r="M109" s="23">
        <v>1</v>
      </c>
      <c r="N109" s="23">
        <v>12</v>
      </c>
      <c r="O109" s="27">
        <f t="shared" ref="O109:O119" si="33">+F109*L109*N109</f>
        <v>462.12000000000006</v>
      </c>
      <c r="P109" s="35">
        <f t="shared" ref="P109:P114" si="34">G109*L109*N109</f>
        <v>10974.84</v>
      </c>
      <c r="Q109" s="27">
        <f t="shared" ref="Q109:Q114" si="35">J109*L109*N109</f>
        <v>46323</v>
      </c>
      <c r="R109" s="27">
        <f t="shared" ref="R109:R114" si="36">K109*L109*N109</f>
        <v>0</v>
      </c>
      <c r="S109" s="41">
        <f t="shared" ref="S109:S114" si="37">IF(I109&lt;650,650*0.09,IF(I109&gt;650,I109*0.09))*12</f>
        <v>996.92640000000006</v>
      </c>
      <c r="T109" s="26">
        <f t="shared" ref="T109:T114" si="38">400+600+(600*0.09)*L109</f>
        <v>1054</v>
      </c>
      <c r="U109" s="26">
        <f t="shared" ref="U109:U114" si="39">SUM(O109:T109)</f>
        <v>59810.886399999996</v>
      </c>
      <c r="V109" s="36" t="s">
        <v>200</v>
      </c>
    </row>
    <row r="110" spans="1:24" x14ac:dyDescent="0.25">
      <c r="A110" s="31" t="s">
        <v>53</v>
      </c>
      <c r="B110" s="22">
        <v>1</v>
      </c>
      <c r="C110" s="23">
        <v>1</v>
      </c>
      <c r="D110" s="32" t="s">
        <v>53</v>
      </c>
      <c r="E110" s="23">
        <v>58</v>
      </c>
      <c r="F110" s="24">
        <v>24.18</v>
      </c>
      <c r="G110" s="24">
        <f>471.46+H110</f>
        <v>521.46</v>
      </c>
      <c r="H110" s="24">
        <v>50</v>
      </c>
      <c r="I110" s="47">
        <f t="shared" si="32"/>
        <v>495.64</v>
      </c>
      <c r="J110" s="26">
        <v>2074</v>
      </c>
      <c r="K110" s="26">
        <v>844.49</v>
      </c>
      <c r="L110" s="22">
        <v>1</v>
      </c>
      <c r="M110" s="23">
        <v>1</v>
      </c>
      <c r="N110" s="23">
        <v>12</v>
      </c>
      <c r="O110" s="27">
        <f t="shared" si="33"/>
        <v>290.15999999999997</v>
      </c>
      <c r="P110" s="35">
        <f t="shared" si="34"/>
        <v>6257.52</v>
      </c>
      <c r="Q110" s="27">
        <f t="shared" si="35"/>
        <v>24888</v>
      </c>
      <c r="R110" s="27">
        <f t="shared" si="36"/>
        <v>10133.880000000001</v>
      </c>
      <c r="S110" s="41">
        <f t="shared" si="37"/>
        <v>702</v>
      </c>
      <c r="T110" s="26">
        <f t="shared" si="38"/>
        <v>1054</v>
      </c>
      <c r="U110" s="26">
        <f t="shared" si="39"/>
        <v>43325.56</v>
      </c>
      <c r="V110" s="36" t="s">
        <v>92</v>
      </c>
      <c r="X110" t="s">
        <v>308</v>
      </c>
    </row>
    <row r="111" spans="1:24" x14ac:dyDescent="0.25">
      <c r="A111" s="31" t="s">
        <v>53</v>
      </c>
      <c r="B111" s="22">
        <v>1</v>
      </c>
      <c r="C111" s="23">
        <v>1</v>
      </c>
      <c r="D111" s="32" t="s">
        <v>53</v>
      </c>
      <c r="E111" s="23">
        <v>59</v>
      </c>
      <c r="F111" s="24">
        <v>24.18</v>
      </c>
      <c r="G111" s="24">
        <f>470.38+H111</f>
        <v>520.38</v>
      </c>
      <c r="H111" s="24">
        <v>50</v>
      </c>
      <c r="I111" s="47">
        <f t="shared" si="32"/>
        <v>494.55999999999995</v>
      </c>
      <c r="J111" s="26">
        <v>2074</v>
      </c>
      <c r="K111" s="26">
        <v>844.49</v>
      </c>
      <c r="L111" s="22">
        <v>1</v>
      </c>
      <c r="M111" s="23">
        <v>1</v>
      </c>
      <c r="N111" s="23">
        <v>12</v>
      </c>
      <c r="O111" s="27">
        <f t="shared" si="33"/>
        <v>290.15999999999997</v>
      </c>
      <c r="P111" s="35">
        <f t="shared" si="34"/>
        <v>6244.5599999999995</v>
      </c>
      <c r="Q111" s="27">
        <f t="shared" si="35"/>
        <v>24888</v>
      </c>
      <c r="R111" s="27">
        <f t="shared" si="36"/>
        <v>10133.880000000001</v>
      </c>
      <c r="S111" s="41">
        <f t="shared" si="37"/>
        <v>702</v>
      </c>
      <c r="T111" s="26">
        <f t="shared" si="38"/>
        <v>1054</v>
      </c>
      <c r="U111" s="26">
        <f t="shared" si="39"/>
        <v>43312.600000000006</v>
      </c>
      <c r="V111" s="36" t="s">
        <v>92</v>
      </c>
      <c r="X111" t="s">
        <v>260</v>
      </c>
    </row>
    <row r="112" spans="1:24" x14ac:dyDescent="0.25">
      <c r="A112" s="31" t="s">
        <v>53</v>
      </c>
      <c r="B112" s="22">
        <v>1</v>
      </c>
      <c r="C112" s="23">
        <v>1</v>
      </c>
      <c r="D112" s="32" t="s">
        <v>53</v>
      </c>
      <c r="E112" s="23">
        <v>60</v>
      </c>
      <c r="F112" s="24">
        <v>24.18</v>
      </c>
      <c r="G112" s="24">
        <f>475.54+H112</f>
        <v>525.54</v>
      </c>
      <c r="H112" s="24">
        <v>50</v>
      </c>
      <c r="I112" s="47">
        <f t="shared" si="32"/>
        <v>499.71999999999991</v>
      </c>
      <c r="J112" s="26">
        <v>2074</v>
      </c>
      <c r="K112" s="26">
        <v>844.49</v>
      </c>
      <c r="L112" s="22">
        <v>1</v>
      </c>
      <c r="M112" s="23">
        <v>1</v>
      </c>
      <c r="N112" s="23">
        <v>12</v>
      </c>
      <c r="O112" s="27">
        <f t="shared" si="33"/>
        <v>290.15999999999997</v>
      </c>
      <c r="P112" s="35">
        <f t="shared" si="34"/>
        <v>6306.48</v>
      </c>
      <c r="Q112" s="27">
        <f t="shared" si="35"/>
        <v>24888</v>
      </c>
      <c r="R112" s="27">
        <f t="shared" si="36"/>
        <v>10133.880000000001</v>
      </c>
      <c r="S112" s="41">
        <f t="shared" si="37"/>
        <v>702</v>
      </c>
      <c r="T112" s="26">
        <f t="shared" si="38"/>
        <v>1054</v>
      </c>
      <c r="U112" s="26">
        <f t="shared" si="39"/>
        <v>43374.520000000004</v>
      </c>
      <c r="V112" s="36" t="s">
        <v>103</v>
      </c>
      <c r="X112" t="s">
        <v>261</v>
      </c>
    </row>
    <row r="113" spans="1:24" x14ac:dyDescent="0.25">
      <c r="A113" s="31" t="s">
        <v>55</v>
      </c>
      <c r="B113" s="22">
        <v>1</v>
      </c>
      <c r="C113" s="23">
        <v>1</v>
      </c>
      <c r="D113" s="32" t="s">
        <v>55</v>
      </c>
      <c r="E113" s="23">
        <v>61</v>
      </c>
      <c r="F113" s="24">
        <v>23.99</v>
      </c>
      <c r="G113" s="24">
        <f>473.98+H113</f>
        <v>518.98</v>
      </c>
      <c r="H113" s="24">
        <v>45</v>
      </c>
      <c r="I113" s="47">
        <f t="shared" si="32"/>
        <v>497.97</v>
      </c>
      <c r="J113" s="26">
        <v>2074</v>
      </c>
      <c r="K113" s="26">
        <v>844.49</v>
      </c>
      <c r="L113" s="22">
        <v>1</v>
      </c>
      <c r="M113" s="23">
        <v>1</v>
      </c>
      <c r="N113" s="23">
        <v>12</v>
      </c>
      <c r="O113" s="27">
        <f t="shared" si="33"/>
        <v>287.88</v>
      </c>
      <c r="P113" s="35">
        <f t="shared" si="34"/>
        <v>6227.76</v>
      </c>
      <c r="Q113" s="27">
        <f t="shared" si="35"/>
        <v>24888</v>
      </c>
      <c r="R113" s="27">
        <f t="shared" si="36"/>
        <v>10133.880000000001</v>
      </c>
      <c r="S113" s="41">
        <f t="shared" si="37"/>
        <v>702</v>
      </c>
      <c r="T113" s="26">
        <f t="shared" si="38"/>
        <v>1054</v>
      </c>
      <c r="U113" s="26">
        <f t="shared" si="39"/>
        <v>43293.520000000004</v>
      </c>
      <c r="V113" s="36" t="s">
        <v>100</v>
      </c>
      <c r="X113" t="s">
        <v>262</v>
      </c>
    </row>
    <row r="114" spans="1:24" x14ac:dyDescent="0.25">
      <c r="A114" s="31" t="s">
        <v>68</v>
      </c>
      <c r="B114" s="22">
        <v>1</v>
      </c>
      <c r="C114" s="23">
        <v>1</v>
      </c>
      <c r="D114" s="32" t="s">
        <v>68</v>
      </c>
      <c r="E114" s="23">
        <v>62</v>
      </c>
      <c r="F114" s="24">
        <v>23.86</v>
      </c>
      <c r="G114" s="24">
        <f>472.37+H114</f>
        <v>512.37</v>
      </c>
      <c r="H114" s="24">
        <v>40</v>
      </c>
      <c r="I114" s="47">
        <f t="shared" si="32"/>
        <v>496.23</v>
      </c>
      <c r="J114" s="26">
        <v>2074</v>
      </c>
      <c r="K114" s="26">
        <v>844.49</v>
      </c>
      <c r="L114" s="22">
        <v>1</v>
      </c>
      <c r="M114" s="23">
        <v>1</v>
      </c>
      <c r="N114" s="23">
        <v>12</v>
      </c>
      <c r="O114" s="27">
        <f t="shared" si="33"/>
        <v>286.32</v>
      </c>
      <c r="P114" s="35">
        <f t="shared" si="34"/>
        <v>6148.4400000000005</v>
      </c>
      <c r="Q114" s="27">
        <f t="shared" si="35"/>
        <v>24888</v>
      </c>
      <c r="R114" s="27">
        <f t="shared" si="36"/>
        <v>10133.880000000001</v>
      </c>
      <c r="S114" s="41">
        <f t="shared" si="37"/>
        <v>702</v>
      </c>
      <c r="T114" s="26">
        <f t="shared" si="38"/>
        <v>1054</v>
      </c>
      <c r="U114" s="26">
        <f t="shared" si="39"/>
        <v>43212.639999999999</v>
      </c>
      <c r="V114" s="36" t="s">
        <v>103</v>
      </c>
      <c r="X114" t="s">
        <v>263</v>
      </c>
    </row>
    <row r="115" spans="1:24" x14ac:dyDescent="0.25">
      <c r="A115" s="31" t="s">
        <v>55</v>
      </c>
      <c r="B115" s="22">
        <v>1</v>
      </c>
      <c r="C115" s="23">
        <v>0</v>
      </c>
      <c r="D115" s="31"/>
      <c r="E115" s="23"/>
      <c r="F115" s="24"/>
      <c r="G115" s="24"/>
      <c r="H115" s="24"/>
      <c r="I115" s="47"/>
      <c r="J115" s="26"/>
      <c r="K115" s="26"/>
      <c r="L115" s="22"/>
      <c r="M115" s="23"/>
      <c r="N115" s="23"/>
      <c r="O115" s="27"/>
      <c r="P115" s="35"/>
      <c r="Q115" s="27"/>
      <c r="R115" s="27"/>
      <c r="S115" s="41"/>
      <c r="T115" s="26"/>
      <c r="U115" s="26"/>
      <c r="V115" s="37"/>
      <c r="X115" s="136" t="s">
        <v>232</v>
      </c>
    </row>
    <row r="116" spans="1:24" x14ac:dyDescent="0.25">
      <c r="A116" s="99" t="s">
        <v>58</v>
      </c>
      <c r="B116" s="100">
        <v>1</v>
      </c>
      <c r="C116" s="101">
        <v>0</v>
      </c>
      <c r="D116" s="102"/>
      <c r="E116" s="101"/>
      <c r="F116" s="104"/>
      <c r="G116" s="104"/>
      <c r="H116" s="104"/>
      <c r="I116" s="105"/>
      <c r="J116" s="134"/>
      <c r="K116" s="106"/>
      <c r="L116" s="100"/>
      <c r="M116" s="101"/>
      <c r="N116" s="101"/>
      <c r="O116" s="107"/>
      <c r="P116" s="108"/>
      <c r="Q116" s="107"/>
      <c r="R116" s="107"/>
      <c r="S116" s="109"/>
      <c r="T116" s="106"/>
      <c r="U116" s="106"/>
      <c r="V116" s="110"/>
      <c r="X116" s="136" t="s">
        <v>232</v>
      </c>
    </row>
    <row r="117" spans="1:24" x14ac:dyDescent="0.25">
      <c r="A117" s="31" t="s">
        <v>58</v>
      </c>
      <c r="B117" s="22">
        <v>1</v>
      </c>
      <c r="C117" s="23">
        <v>1</v>
      </c>
      <c r="D117" s="32" t="s">
        <v>58</v>
      </c>
      <c r="E117" s="23">
        <v>63</v>
      </c>
      <c r="F117" s="24">
        <v>23.39</v>
      </c>
      <c r="G117" s="24">
        <f>469.11+H117</f>
        <v>499.11</v>
      </c>
      <c r="H117" s="24">
        <v>30</v>
      </c>
      <c r="I117" s="137">
        <f t="shared" si="32"/>
        <v>492.5</v>
      </c>
      <c r="J117" s="26">
        <v>2074</v>
      </c>
      <c r="K117" s="26">
        <v>656.14</v>
      </c>
      <c r="L117" s="22">
        <v>1</v>
      </c>
      <c r="M117" s="23">
        <v>1</v>
      </c>
      <c r="N117" s="23">
        <v>12</v>
      </c>
      <c r="O117" s="27">
        <f t="shared" si="33"/>
        <v>280.68</v>
      </c>
      <c r="P117" s="35">
        <f>G117*L117*N117</f>
        <v>5989.32</v>
      </c>
      <c r="Q117" s="27">
        <f>J117*L117*N117</f>
        <v>24888</v>
      </c>
      <c r="R117" s="27">
        <f>K117*L117*N117</f>
        <v>7873.68</v>
      </c>
      <c r="S117" s="41">
        <f>IF(I117&lt;650,650*0.09,IF(I117&gt;650,I117*0.09))*12</f>
        <v>702</v>
      </c>
      <c r="T117" s="26">
        <f>400+600+(600*0.09)*L117</f>
        <v>1054</v>
      </c>
      <c r="U117" s="26">
        <f>SUM(O117:T117)</f>
        <v>40787.68</v>
      </c>
      <c r="V117" s="37" t="s">
        <v>104</v>
      </c>
      <c r="X117" t="s">
        <v>264</v>
      </c>
    </row>
    <row r="118" spans="1:24" x14ac:dyDescent="0.25">
      <c r="A118" s="31" t="s">
        <v>58</v>
      </c>
      <c r="B118" s="22">
        <v>1</v>
      </c>
      <c r="C118" s="23">
        <v>1</v>
      </c>
      <c r="D118" s="32" t="s">
        <v>58</v>
      </c>
      <c r="E118" s="23">
        <v>64</v>
      </c>
      <c r="F118" s="24">
        <v>23.39</v>
      </c>
      <c r="G118" s="24">
        <f>475.04+H118</f>
        <v>505.04</v>
      </c>
      <c r="H118" s="24">
        <v>30</v>
      </c>
      <c r="I118" s="47">
        <f t="shared" si="32"/>
        <v>498.43000000000006</v>
      </c>
      <c r="J118" s="26">
        <v>2074</v>
      </c>
      <c r="K118" s="26">
        <v>656.14</v>
      </c>
      <c r="L118" s="22">
        <v>1</v>
      </c>
      <c r="M118" s="23">
        <v>0</v>
      </c>
      <c r="N118" s="23">
        <v>12</v>
      </c>
      <c r="O118" s="27">
        <f t="shared" si="33"/>
        <v>280.68</v>
      </c>
      <c r="P118" s="35">
        <f>G118*L118*N118</f>
        <v>6060.4800000000005</v>
      </c>
      <c r="Q118" s="27">
        <f>J118*L118*N118</f>
        <v>24888</v>
      </c>
      <c r="R118" s="27">
        <f>K118*L118*N118</f>
        <v>7873.68</v>
      </c>
      <c r="S118" s="41">
        <f>IF(I118&lt;650,650*0.09,IF(I118&gt;650,I118*0.09))*12</f>
        <v>702</v>
      </c>
      <c r="T118" s="26">
        <f>400+600+(600*0.09)*L118</f>
        <v>1054</v>
      </c>
      <c r="U118" s="26">
        <f>SUM(O118:T118)</f>
        <v>40858.839999999997</v>
      </c>
      <c r="V118" s="37" t="s">
        <v>104</v>
      </c>
      <c r="X118" s="144" t="s">
        <v>265</v>
      </c>
    </row>
    <row r="119" spans="1:24" x14ac:dyDescent="0.25">
      <c r="A119" s="31" t="s">
        <v>58</v>
      </c>
      <c r="B119" s="22">
        <v>1</v>
      </c>
      <c r="C119" s="23">
        <v>1</v>
      </c>
      <c r="D119" s="32" t="s">
        <v>58</v>
      </c>
      <c r="E119" s="23">
        <v>65</v>
      </c>
      <c r="F119" s="24">
        <v>23.39</v>
      </c>
      <c r="G119" s="24">
        <f>469.09+H119</f>
        <v>499.09</v>
      </c>
      <c r="H119" s="24">
        <v>30</v>
      </c>
      <c r="I119" s="47">
        <f t="shared" si="32"/>
        <v>492.48</v>
      </c>
      <c r="J119" s="26">
        <v>2074</v>
      </c>
      <c r="K119" s="26">
        <v>656.14</v>
      </c>
      <c r="L119" s="22">
        <v>1</v>
      </c>
      <c r="M119" s="23">
        <v>1</v>
      </c>
      <c r="N119" s="23">
        <v>12</v>
      </c>
      <c r="O119" s="27">
        <f t="shared" si="33"/>
        <v>280.68</v>
      </c>
      <c r="P119" s="35">
        <f>G119*L119*N119</f>
        <v>5989.08</v>
      </c>
      <c r="Q119" s="27">
        <f>J119*L119*N119</f>
        <v>24888</v>
      </c>
      <c r="R119" s="27">
        <f>K119*L119*N119</f>
        <v>7873.68</v>
      </c>
      <c r="S119" s="41">
        <f>IF(I119&lt;650,650*0.09,IF(I119&gt;650,I119*0.09))*12</f>
        <v>702</v>
      </c>
      <c r="T119" s="26">
        <f>400+600+(600*0.09)*L119</f>
        <v>1054</v>
      </c>
      <c r="U119" s="26">
        <f>SUM(O119:T119)</f>
        <v>40787.440000000002</v>
      </c>
      <c r="V119" s="37" t="s">
        <v>104</v>
      </c>
      <c r="X119" t="s">
        <v>264</v>
      </c>
    </row>
    <row r="120" spans="1:24" x14ac:dyDescent="0.25">
      <c r="A120" s="31"/>
      <c r="B120" s="22"/>
      <c r="C120" s="23"/>
      <c r="D120" s="32"/>
      <c r="E120" s="29"/>
      <c r="F120" s="26"/>
      <c r="G120" s="26"/>
      <c r="H120" s="26"/>
      <c r="I120" s="26"/>
      <c r="J120" s="26"/>
      <c r="K120" s="26"/>
      <c r="L120" s="22"/>
      <c r="M120" s="23"/>
      <c r="N120" s="23"/>
      <c r="O120" s="26"/>
      <c r="P120" s="26"/>
      <c r="Q120" s="26"/>
      <c r="R120" s="26"/>
      <c r="S120" s="26"/>
      <c r="T120" s="26"/>
      <c r="U120" s="26"/>
      <c r="V120" s="36"/>
    </row>
    <row r="121" spans="1:24" x14ac:dyDescent="0.25">
      <c r="A121" s="31"/>
      <c r="B121" s="22"/>
      <c r="C121" s="23"/>
      <c r="D121" s="50" t="s">
        <v>105</v>
      </c>
      <c r="E121" s="29"/>
      <c r="F121" s="26"/>
      <c r="G121" s="26"/>
      <c r="H121" s="26"/>
      <c r="I121" s="26"/>
      <c r="J121" s="26"/>
      <c r="K121" s="26"/>
      <c r="L121" s="22"/>
      <c r="M121" s="23"/>
      <c r="N121" s="23"/>
      <c r="O121" s="26"/>
      <c r="P121" s="26"/>
      <c r="Q121" s="26"/>
      <c r="R121" s="26"/>
      <c r="S121" s="26"/>
      <c r="T121" s="26"/>
      <c r="U121" s="26"/>
      <c r="V121" s="36"/>
    </row>
    <row r="122" spans="1:24" x14ac:dyDescent="0.25">
      <c r="A122" s="31" t="s">
        <v>50</v>
      </c>
      <c r="B122" s="22">
        <v>1</v>
      </c>
      <c r="C122" s="23">
        <v>1</v>
      </c>
      <c r="D122" s="32" t="s">
        <v>50</v>
      </c>
      <c r="E122" s="23">
        <v>66</v>
      </c>
      <c r="F122" s="24">
        <v>44.53</v>
      </c>
      <c r="G122" s="24">
        <f>1034.95+H122</f>
        <v>1064.95</v>
      </c>
      <c r="H122" s="24">
        <v>30</v>
      </c>
      <c r="I122" s="47">
        <f>F122+G122-H122</f>
        <v>1079.48</v>
      </c>
      <c r="J122" s="26">
        <v>5094</v>
      </c>
      <c r="K122" s="26">
        <v>649.76</v>
      </c>
      <c r="L122" s="22">
        <v>1</v>
      </c>
      <c r="M122" s="23">
        <v>1</v>
      </c>
      <c r="N122" s="23">
        <v>12</v>
      </c>
      <c r="O122" s="27">
        <f>+F122*L122*N122</f>
        <v>534.36</v>
      </c>
      <c r="P122" s="35">
        <f>G122*L122*N122</f>
        <v>12779.400000000001</v>
      </c>
      <c r="Q122" s="27">
        <f>J122*L122*N122</f>
        <v>61128</v>
      </c>
      <c r="R122" s="27">
        <f>K122*L122*N122</f>
        <v>7797.12</v>
      </c>
      <c r="S122" s="41">
        <f>IF(I122&lt;650,650*0.09,IF(I122&gt;650,I122*0.09))*12</f>
        <v>1165.8384000000001</v>
      </c>
      <c r="T122" s="26">
        <f>400+600+(600*0.09)*L122</f>
        <v>1054</v>
      </c>
      <c r="U122" s="26">
        <f>SUM(O122:T122)</f>
        <v>84458.718399999998</v>
      </c>
      <c r="V122" s="49" t="s">
        <v>106</v>
      </c>
    </row>
    <row r="123" spans="1:24" x14ac:dyDescent="0.25">
      <c r="A123" s="31" t="s">
        <v>55</v>
      </c>
      <c r="B123" s="22">
        <v>1</v>
      </c>
      <c r="C123" s="23">
        <v>1</v>
      </c>
      <c r="D123" s="32" t="s">
        <v>55</v>
      </c>
      <c r="E123" s="23">
        <v>67</v>
      </c>
      <c r="F123" s="24">
        <v>24.01</v>
      </c>
      <c r="G123" s="24">
        <f>468.84+H123</f>
        <v>513.83999999999992</v>
      </c>
      <c r="H123" s="24">
        <v>45</v>
      </c>
      <c r="I123" s="47">
        <f>F123+G123-H123</f>
        <v>492.84999999999991</v>
      </c>
      <c r="J123" s="26">
        <v>2074</v>
      </c>
      <c r="K123" s="26">
        <v>844.49</v>
      </c>
      <c r="L123" s="22">
        <v>1</v>
      </c>
      <c r="M123" s="23">
        <v>1</v>
      </c>
      <c r="N123" s="23">
        <v>12</v>
      </c>
      <c r="O123" s="27">
        <f>+F123*L123*N123</f>
        <v>288.12</v>
      </c>
      <c r="P123" s="35">
        <f>G123*L123*N123</f>
        <v>6166.079999999999</v>
      </c>
      <c r="Q123" s="27">
        <f>J123*L123*N123</f>
        <v>24888</v>
      </c>
      <c r="R123" s="27">
        <f>K123*L123*N123</f>
        <v>10133.880000000001</v>
      </c>
      <c r="S123" s="41">
        <f>IF(I123&lt;650,650*0.09,IF(I123&gt;650,I123*0.09))*12</f>
        <v>702</v>
      </c>
      <c r="T123" s="26">
        <f>400+600+(600*0.09)*L123</f>
        <v>1054</v>
      </c>
      <c r="U123" s="26">
        <f>SUM(O123:T123)</f>
        <v>43232.08</v>
      </c>
      <c r="V123" s="37" t="s">
        <v>54</v>
      </c>
      <c r="X123" t="s">
        <v>266</v>
      </c>
    </row>
    <row r="124" spans="1:24" x14ac:dyDescent="0.25">
      <c r="A124" s="31"/>
      <c r="B124" s="22"/>
      <c r="C124" s="23"/>
      <c r="D124" s="32"/>
      <c r="E124" s="29"/>
      <c r="F124" s="26"/>
      <c r="G124" s="26"/>
      <c r="H124" s="26"/>
      <c r="I124" s="26"/>
      <c r="J124" s="26"/>
      <c r="K124" s="26"/>
      <c r="L124" s="22"/>
      <c r="M124" s="23"/>
      <c r="N124" s="23"/>
      <c r="O124" s="26"/>
      <c r="P124" s="26"/>
      <c r="Q124" s="26"/>
      <c r="R124" s="26"/>
      <c r="S124" s="26"/>
      <c r="T124" s="26"/>
      <c r="U124" s="26"/>
      <c r="V124" s="36"/>
    </row>
    <row r="125" spans="1:24" x14ac:dyDescent="0.25">
      <c r="A125" s="31"/>
      <c r="B125" s="22"/>
      <c r="C125" s="23"/>
      <c r="D125" s="51" t="s">
        <v>107</v>
      </c>
      <c r="E125" s="29"/>
      <c r="F125" s="26"/>
      <c r="G125" s="26"/>
      <c r="H125" s="26"/>
      <c r="I125" s="26"/>
      <c r="J125" s="26"/>
      <c r="K125" s="26"/>
      <c r="L125" s="22"/>
      <c r="M125" s="23"/>
      <c r="N125" s="23"/>
      <c r="O125" s="26"/>
      <c r="P125" s="26"/>
      <c r="Q125" s="26"/>
      <c r="R125" s="26"/>
      <c r="S125" s="26"/>
      <c r="T125" s="26"/>
      <c r="U125" s="26"/>
      <c r="V125" s="36"/>
    </row>
    <row r="126" spans="1:24" x14ac:dyDescent="0.25">
      <c r="A126" s="31" t="s">
        <v>73</v>
      </c>
      <c r="B126" s="22">
        <v>1</v>
      </c>
      <c r="C126" s="23">
        <v>1</v>
      </c>
      <c r="D126" s="32" t="s">
        <v>73</v>
      </c>
      <c r="E126" s="23">
        <v>68</v>
      </c>
      <c r="F126" s="24">
        <v>38.510000000000005</v>
      </c>
      <c r="G126" s="24">
        <f>884.57+H126</f>
        <v>914.57</v>
      </c>
      <c r="H126" s="24">
        <v>30</v>
      </c>
      <c r="I126" s="47">
        <f>F126+G126-H126</f>
        <v>923.08</v>
      </c>
      <c r="J126" s="26">
        <v>3860.25</v>
      </c>
      <c r="K126" s="26"/>
      <c r="L126" s="22">
        <v>1</v>
      </c>
      <c r="M126" s="23">
        <v>1</v>
      </c>
      <c r="N126" s="23">
        <v>12</v>
      </c>
      <c r="O126" s="27">
        <f>+F126*L126*N126</f>
        <v>462.12000000000006</v>
      </c>
      <c r="P126" s="35">
        <f>G126*L126*N126</f>
        <v>10974.84</v>
      </c>
      <c r="Q126" s="27">
        <f>J126*L126*N126</f>
        <v>46323</v>
      </c>
      <c r="R126" s="27">
        <f>K126*L126*N126</f>
        <v>0</v>
      </c>
      <c r="S126" s="41">
        <f>IF(I126&lt;650,650*0.09,IF(I126&gt;650,I126*0.09))*12</f>
        <v>996.92640000000006</v>
      </c>
      <c r="T126" s="26">
        <f>400+600+(600*0.09)*L126</f>
        <v>1054</v>
      </c>
      <c r="U126" s="26">
        <f>SUM(O126:T126)</f>
        <v>59810.886399999996</v>
      </c>
      <c r="V126" s="37" t="s">
        <v>201</v>
      </c>
    </row>
    <row r="127" spans="1:24" x14ac:dyDescent="0.25">
      <c r="A127" s="31" t="s">
        <v>81</v>
      </c>
      <c r="B127" s="22">
        <v>1</v>
      </c>
      <c r="C127" s="23">
        <v>1</v>
      </c>
      <c r="D127" s="32" t="s">
        <v>81</v>
      </c>
      <c r="E127" s="23">
        <v>69</v>
      </c>
      <c r="F127" s="24">
        <v>30.26</v>
      </c>
      <c r="G127" s="24">
        <f>557.68+H127</f>
        <v>639.67999999999995</v>
      </c>
      <c r="H127" s="24">
        <v>82</v>
      </c>
      <c r="I127" s="47">
        <f>F127+G127-H127</f>
        <v>587.93999999999994</v>
      </c>
      <c r="J127" s="26">
        <v>2479</v>
      </c>
      <c r="K127" s="26">
        <v>891.54</v>
      </c>
      <c r="L127" s="22">
        <v>1</v>
      </c>
      <c r="M127" s="23">
        <v>1</v>
      </c>
      <c r="N127" s="23">
        <v>12</v>
      </c>
      <c r="O127" s="27">
        <f>+F127*L127*N127</f>
        <v>363.12</v>
      </c>
      <c r="P127" s="35">
        <f>G127*L127*N127</f>
        <v>7676.16</v>
      </c>
      <c r="Q127" s="27">
        <f>J127*L127*N127</f>
        <v>29748</v>
      </c>
      <c r="R127" s="27">
        <f>K127*L127*N127</f>
        <v>10698.48</v>
      </c>
      <c r="S127" s="41">
        <f>IF(I127&lt;650,650*0.09,IF(I127&gt;650,I127*0.09))*12</f>
        <v>702</v>
      </c>
      <c r="T127" s="26">
        <f>400+600+(600*0.09)*L127</f>
        <v>1054</v>
      </c>
      <c r="U127" s="26">
        <f>SUM(O127:T127)</f>
        <v>50241.759999999995</v>
      </c>
      <c r="V127" s="37" t="s">
        <v>109</v>
      </c>
      <c r="X127" t="s">
        <v>267</v>
      </c>
    </row>
    <row r="128" spans="1:24" x14ac:dyDescent="0.25">
      <c r="A128" s="31" t="s">
        <v>65</v>
      </c>
      <c r="B128" s="22">
        <v>1</v>
      </c>
      <c r="C128" s="23">
        <v>1</v>
      </c>
      <c r="D128" s="32" t="s">
        <v>65</v>
      </c>
      <c r="E128" s="23">
        <v>70</v>
      </c>
      <c r="F128" s="24">
        <v>30.1</v>
      </c>
      <c r="G128" s="24">
        <f>541.34+H128</f>
        <v>616.34</v>
      </c>
      <c r="H128" s="24">
        <v>75</v>
      </c>
      <c r="I128" s="47">
        <f>F128+G128-H128</f>
        <v>571.44000000000005</v>
      </c>
      <c r="J128" s="26">
        <v>2479</v>
      </c>
      <c r="K128" s="26">
        <v>891.54</v>
      </c>
      <c r="L128" s="22">
        <v>1</v>
      </c>
      <c r="M128" s="23">
        <v>1</v>
      </c>
      <c r="N128" s="23">
        <v>12</v>
      </c>
      <c r="O128" s="27">
        <f>+F128*L128*N128</f>
        <v>361.20000000000005</v>
      </c>
      <c r="P128" s="35">
        <f>G128*L128*N128</f>
        <v>7396.08</v>
      </c>
      <c r="Q128" s="27">
        <f>J128*L128*N128</f>
        <v>29748</v>
      </c>
      <c r="R128" s="27">
        <f>K128*L128*N128</f>
        <v>10698.48</v>
      </c>
      <c r="S128" s="41">
        <f>IF(I128&lt;650,650*0.09,IF(I128&gt;650,I128*0.09))*12</f>
        <v>702</v>
      </c>
      <c r="T128" s="26">
        <f>400+600+(600*0.09)*L128</f>
        <v>1054</v>
      </c>
      <c r="U128" s="26">
        <f>SUM(O128:T128)</f>
        <v>49959.759999999995</v>
      </c>
      <c r="V128" s="36" t="s">
        <v>110</v>
      </c>
      <c r="X128" t="s">
        <v>268</v>
      </c>
    </row>
    <row r="129" spans="1:24" x14ac:dyDescent="0.25">
      <c r="A129" s="31" t="s">
        <v>81</v>
      </c>
      <c r="B129" s="22">
        <v>1</v>
      </c>
      <c r="C129" s="23">
        <v>1</v>
      </c>
      <c r="D129" s="32" t="s">
        <v>81</v>
      </c>
      <c r="E129" s="23">
        <v>71</v>
      </c>
      <c r="F129" s="24">
        <v>30.26</v>
      </c>
      <c r="G129" s="24">
        <f>794.79+H129</f>
        <v>876.79</v>
      </c>
      <c r="H129" s="24">
        <v>82</v>
      </c>
      <c r="I129" s="47">
        <f>F129+G129-H129</f>
        <v>825.05</v>
      </c>
      <c r="J129" s="26">
        <v>2479</v>
      </c>
      <c r="K129" s="26">
        <v>891.54</v>
      </c>
      <c r="L129" s="22">
        <v>1</v>
      </c>
      <c r="M129" s="23">
        <v>1</v>
      </c>
      <c r="N129" s="23">
        <v>12</v>
      </c>
      <c r="O129" s="27">
        <f>+F129*L129*N129</f>
        <v>363.12</v>
      </c>
      <c r="P129" s="35">
        <f>G129*L129*N129</f>
        <v>10521.48</v>
      </c>
      <c r="Q129" s="27">
        <f>J129*L129*N129</f>
        <v>29748</v>
      </c>
      <c r="R129" s="27">
        <f>K129*L129*N129</f>
        <v>10698.48</v>
      </c>
      <c r="S129" s="41">
        <f>IF(I129&lt;650,650*0.09,IF(I129&gt;650,I129*0.09))*12</f>
        <v>891.05399999999986</v>
      </c>
      <c r="T129" s="26">
        <f>400+600+(600*0.09)*L129</f>
        <v>1054</v>
      </c>
      <c r="U129" s="26">
        <f>SUM(O129:T129)</f>
        <v>53276.133999999998</v>
      </c>
      <c r="V129" s="37" t="s">
        <v>111</v>
      </c>
      <c r="X129" t="s">
        <v>269</v>
      </c>
    </row>
    <row r="130" spans="1:24" x14ac:dyDescent="0.25">
      <c r="A130" s="31"/>
      <c r="B130" s="22"/>
      <c r="C130" s="23"/>
      <c r="D130" s="32"/>
      <c r="E130" s="29"/>
      <c r="F130" s="26"/>
      <c r="G130" s="26"/>
      <c r="H130" s="26"/>
      <c r="I130" s="26"/>
      <c r="J130" s="26"/>
      <c r="K130" s="26"/>
      <c r="L130" s="22"/>
      <c r="M130" s="23"/>
      <c r="N130" s="23"/>
      <c r="O130" s="26"/>
      <c r="P130" s="26"/>
      <c r="Q130" s="26"/>
      <c r="R130" s="26"/>
      <c r="S130" s="26"/>
      <c r="T130" s="26"/>
      <c r="U130" s="26"/>
      <c r="V130" s="36"/>
    </row>
    <row r="131" spans="1:24" x14ac:dyDescent="0.25">
      <c r="A131" s="31"/>
      <c r="B131" s="22"/>
      <c r="C131" s="23"/>
      <c r="D131" s="51" t="s">
        <v>112</v>
      </c>
      <c r="E131" s="29"/>
      <c r="F131" s="26"/>
      <c r="G131" s="26"/>
      <c r="H131" s="26"/>
      <c r="I131" s="26"/>
      <c r="J131" s="26"/>
      <c r="K131" s="26"/>
      <c r="L131" s="22"/>
      <c r="M131" s="23"/>
      <c r="N131" s="23"/>
      <c r="O131" s="26"/>
      <c r="P131" s="26"/>
      <c r="Q131" s="26"/>
      <c r="R131" s="26"/>
      <c r="S131" s="26"/>
      <c r="T131" s="26"/>
      <c r="U131" s="26"/>
      <c r="V131" s="36"/>
    </row>
    <row r="132" spans="1:24" x14ac:dyDescent="0.25">
      <c r="A132" s="31" t="s">
        <v>73</v>
      </c>
      <c r="B132" s="22">
        <v>1</v>
      </c>
      <c r="C132" s="23">
        <v>1</v>
      </c>
      <c r="D132" s="32" t="s">
        <v>73</v>
      </c>
      <c r="E132" s="23">
        <v>72</v>
      </c>
      <c r="F132" s="24">
        <v>38.510000000000005</v>
      </c>
      <c r="G132" s="24">
        <f>884.57+H132</f>
        <v>914.57</v>
      </c>
      <c r="H132" s="24">
        <v>30</v>
      </c>
      <c r="I132" s="47">
        <f>F132+G132-H132</f>
        <v>923.08</v>
      </c>
      <c r="J132" s="26">
        <v>3860.25</v>
      </c>
      <c r="K132" s="26"/>
      <c r="L132" s="22">
        <v>1</v>
      </c>
      <c r="M132" s="23">
        <v>1</v>
      </c>
      <c r="N132" s="23">
        <v>12</v>
      </c>
      <c r="O132" s="27">
        <f>+F132*L132*N132</f>
        <v>462.12000000000006</v>
      </c>
      <c r="P132" s="35">
        <f>G132*L132*N132</f>
        <v>10974.84</v>
      </c>
      <c r="Q132" s="27">
        <f>J132*L132*N132</f>
        <v>46323</v>
      </c>
      <c r="R132" s="27">
        <f>K132*L132*N132</f>
        <v>0</v>
      </c>
      <c r="S132" s="41">
        <f>IF(I132&lt;650,650*0.09,IF(I132&gt;650,I132*0.09))*12</f>
        <v>996.92640000000006</v>
      </c>
      <c r="T132" s="26">
        <f>400+600+(600*0.09)*L132</f>
        <v>1054</v>
      </c>
      <c r="U132" s="26">
        <f>SUM(O132:T132)</f>
        <v>59810.886399999996</v>
      </c>
      <c r="V132" s="37" t="s">
        <v>202</v>
      </c>
    </row>
    <row r="133" spans="1:24" x14ac:dyDescent="0.25">
      <c r="A133" s="31" t="s">
        <v>65</v>
      </c>
      <c r="B133" s="22">
        <v>1</v>
      </c>
      <c r="C133" s="23">
        <v>1</v>
      </c>
      <c r="D133" s="32" t="s">
        <v>65</v>
      </c>
      <c r="E133" s="23">
        <v>73</v>
      </c>
      <c r="F133" s="24">
        <v>30.1</v>
      </c>
      <c r="G133" s="24">
        <f>541.34+H133</f>
        <v>616.34</v>
      </c>
      <c r="H133" s="24">
        <v>75</v>
      </c>
      <c r="I133" s="47">
        <f>F133+G133-H133</f>
        <v>571.44000000000005</v>
      </c>
      <c r="J133" s="26">
        <v>2479</v>
      </c>
      <c r="K133" s="26">
        <v>891.54</v>
      </c>
      <c r="L133" s="22">
        <v>1</v>
      </c>
      <c r="M133" s="23">
        <v>1</v>
      </c>
      <c r="N133" s="23">
        <v>12</v>
      </c>
      <c r="O133" s="27">
        <f>+F133*L133*N133</f>
        <v>361.20000000000005</v>
      </c>
      <c r="P133" s="35">
        <f>G133*L133*N133</f>
        <v>7396.08</v>
      </c>
      <c r="Q133" s="27">
        <f>J133*L133*N133</f>
        <v>29748</v>
      </c>
      <c r="R133" s="27">
        <f>K133*L133*N133</f>
        <v>10698.48</v>
      </c>
      <c r="S133" s="41">
        <f>IF(I133&lt;650,650*0.09,IF(I133&gt;650,I133*0.09))*12</f>
        <v>702</v>
      </c>
      <c r="T133" s="26">
        <f>400+600+(600*0.09)*L133</f>
        <v>1054</v>
      </c>
      <c r="U133" s="26">
        <f>SUM(O133:T133)</f>
        <v>49959.759999999995</v>
      </c>
      <c r="V133" s="36" t="s">
        <v>66</v>
      </c>
      <c r="X133" t="s">
        <v>270</v>
      </c>
    </row>
    <row r="134" spans="1:24" x14ac:dyDescent="0.25">
      <c r="A134" s="31"/>
      <c r="B134" s="22"/>
      <c r="C134" s="23"/>
      <c r="D134" s="32"/>
      <c r="E134" s="29"/>
      <c r="F134" s="26"/>
      <c r="G134" s="26"/>
      <c r="H134" s="26"/>
      <c r="I134" s="26"/>
      <c r="J134" s="26"/>
      <c r="K134" s="26"/>
      <c r="L134" s="22"/>
      <c r="M134" s="23"/>
      <c r="N134" s="23"/>
      <c r="O134" s="26"/>
      <c r="P134" s="26"/>
      <c r="Q134" s="26"/>
      <c r="R134" s="26"/>
      <c r="S134" s="26"/>
      <c r="T134" s="26"/>
      <c r="U134" s="26"/>
      <c r="V134" s="36"/>
    </row>
    <row r="135" spans="1:24" x14ac:dyDescent="0.25">
      <c r="A135" s="31"/>
      <c r="B135" s="22"/>
      <c r="C135" s="23"/>
      <c r="D135" s="50" t="s">
        <v>113</v>
      </c>
      <c r="E135" s="17"/>
      <c r="F135" s="17"/>
      <c r="G135" s="52"/>
      <c r="H135" s="52"/>
      <c r="I135" s="26"/>
      <c r="J135" s="26"/>
      <c r="K135" s="26"/>
      <c r="L135" s="22"/>
      <c r="M135" s="23"/>
      <c r="N135" s="23"/>
      <c r="O135" s="26"/>
      <c r="P135" s="26"/>
      <c r="Q135" s="26"/>
      <c r="R135" s="26"/>
      <c r="S135" s="26"/>
      <c r="T135" s="26"/>
      <c r="U135" s="26"/>
      <c r="V135" s="36"/>
    </row>
    <row r="136" spans="1:24" x14ac:dyDescent="0.25">
      <c r="A136" s="31" t="s">
        <v>50</v>
      </c>
      <c r="B136" s="22">
        <v>1</v>
      </c>
      <c r="C136" s="23">
        <v>1</v>
      </c>
      <c r="D136" s="32" t="s">
        <v>50</v>
      </c>
      <c r="E136" s="82">
        <v>74</v>
      </c>
      <c r="F136" s="24">
        <v>44.53</v>
      </c>
      <c r="G136" s="24">
        <f>1034.95+H136</f>
        <v>1064.95</v>
      </c>
      <c r="H136" s="24">
        <v>30</v>
      </c>
      <c r="I136" s="47">
        <f>F136+G136-H136</f>
        <v>1079.48</v>
      </c>
      <c r="J136" s="26">
        <v>5094</v>
      </c>
      <c r="K136" s="26">
        <v>649.76</v>
      </c>
      <c r="L136" s="22">
        <v>1</v>
      </c>
      <c r="M136" s="23">
        <v>1</v>
      </c>
      <c r="N136" s="23">
        <v>12</v>
      </c>
      <c r="O136" s="27">
        <f>+F136*L136*N136</f>
        <v>534.36</v>
      </c>
      <c r="P136" s="35">
        <f>G136*L136*N136</f>
        <v>12779.400000000001</v>
      </c>
      <c r="Q136" s="27">
        <f>J136*L136*N136</f>
        <v>61128</v>
      </c>
      <c r="R136" s="27">
        <f>K136*L136*N136</f>
        <v>7797.12</v>
      </c>
      <c r="S136" s="41">
        <f>IF(I136&lt;650,650*0.09,IF(I136&gt;650,I136*0.09))*12</f>
        <v>1165.8384000000001</v>
      </c>
      <c r="T136" s="26">
        <f>400+600+(600*0.09)*L136</f>
        <v>1054</v>
      </c>
      <c r="U136" s="26">
        <f>SUM(O136:T136)</f>
        <v>84458.718399999998</v>
      </c>
      <c r="V136" s="49" t="s">
        <v>114</v>
      </c>
    </row>
    <row r="137" spans="1:24" x14ac:dyDescent="0.25">
      <c r="A137" s="31"/>
      <c r="B137" s="22"/>
      <c r="C137" s="23"/>
      <c r="D137" s="32"/>
      <c r="E137" s="29"/>
      <c r="F137" s="26"/>
      <c r="G137" s="26"/>
      <c r="H137" s="26"/>
      <c r="I137" s="26"/>
      <c r="J137" s="26"/>
      <c r="K137" s="26"/>
      <c r="L137" s="22"/>
      <c r="M137" s="23"/>
      <c r="N137" s="23"/>
      <c r="O137" s="26"/>
      <c r="P137" s="26"/>
      <c r="Q137" s="26"/>
      <c r="R137" s="26"/>
      <c r="S137" s="26"/>
      <c r="T137" s="26"/>
      <c r="U137" s="26"/>
      <c r="V137" s="36"/>
    </row>
    <row r="138" spans="1:24" x14ac:dyDescent="0.25">
      <c r="A138" s="31"/>
      <c r="B138" s="22"/>
      <c r="C138" s="23"/>
      <c r="D138" s="51" t="s">
        <v>115</v>
      </c>
      <c r="E138" s="51"/>
      <c r="F138" s="52"/>
      <c r="G138" s="52"/>
      <c r="H138" s="52"/>
      <c r="I138" s="52"/>
      <c r="J138" s="26"/>
      <c r="K138" s="26"/>
      <c r="L138" s="22"/>
      <c r="M138" s="23"/>
      <c r="N138" s="23"/>
      <c r="O138" s="26"/>
      <c r="P138" s="26"/>
      <c r="Q138" s="26"/>
      <c r="R138" s="26"/>
      <c r="S138" s="26"/>
      <c r="T138" s="26"/>
      <c r="U138" s="26"/>
      <c r="V138" s="36"/>
    </row>
    <row r="139" spans="1:24" x14ac:dyDescent="0.25">
      <c r="A139" s="31" t="s">
        <v>73</v>
      </c>
      <c r="B139" s="22">
        <v>1</v>
      </c>
      <c r="C139" s="23">
        <v>1</v>
      </c>
      <c r="D139" s="32" t="s">
        <v>73</v>
      </c>
      <c r="E139" s="23">
        <v>75</v>
      </c>
      <c r="F139" s="24">
        <v>38.510000000000005</v>
      </c>
      <c r="G139" s="24">
        <f>884.57+H139</f>
        <v>914.57</v>
      </c>
      <c r="H139" s="24">
        <v>30</v>
      </c>
      <c r="I139" s="47">
        <f>F139+G139-H139</f>
        <v>923.08</v>
      </c>
      <c r="J139" s="26">
        <v>3860.25</v>
      </c>
      <c r="K139" s="26"/>
      <c r="L139" s="22">
        <v>1</v>
      </c>
      <c r="M139" s="23">
        <v>1</v>
      </c>
      <c r="N139" s="23">
        <v>12</v>
      </c>
      <c r="O139" s="27">
        <f>+F139*L139*N139</f>
        <v>462.12000000000006</v>
      </c>
      <c r="P139" s="35">
        <f>G139*L139*N139</f>
        <v>10974.84</v>
      </c>
      <c r="Q139" s="27">
        <f>J139*L139*N139</f>
        <v>46323</v>
      </c>
      <c r="R139" s="27">
        <f>K139*L139*N139</f>
        <v>0</v>
      </c>
      <c r="S139" s="41">
        <f>IF(I139&lt;650,650*0.09,IF(I139&gt;650,I139*0.09))*12</f>
        <v>996.92640000000006</v>
      </c>
      <c r="T139" s="26">
        <f>400+600+(600*0.09)*L139</f>
        <v>1054</v>
      </c>
      <c r="U139" s="26">
        <f>SUM(O139:T139)</f>
        <v>59810.886399999996</v>
      </c>
      <c r="V139" s="81" t="s">
        <v>203</v>
      </c>
    </row>
    <row r="140" spans="1:24" x14ac:dyDescent="0.25">
      <c r="A140" s="31"/>
      <c r="B140" s="22"/>
      <c r="C140" s="23"/>
      <c r="D140" s="32"/>
      <c r="E140" s="29"/>
      <c r="F140" s="26"/>
      <c r="G140" s="26"/>
      <c r="H140" s="26"/>
      <c r="I140" s="26"/>
      <c r="J140" s="26"/>
      <c r="K140" s="26"/>
      <c r="L140" s="22"/>
      <c r="M140" s="23"/>
      <c r="N140" s="23"/>
      <c r="O140" s="26"/>
      <c r="P140" s="26"/>
      <c r="Q140" s="26"/>
      <c r="R140" s="26"/>
      <c r="S140" s="26"/>
      <c r="T140" s="26"/>
      <c r="U140" s="26"/>
      <c r="V140" s="36"/>
    </row>
    <row r="141" spans="1:24" x14ac:dyDescent="0.25">
      <c r="A141" s="31"/>
      <c r="B141" s="22"/>
      <c r="C141" s="23"/>
      <c r="D141" s="51" t="s">
        <v>116</v>
      </c>
      <c r="E141" s="51"/>
      <c r="F141" s="52"/>
      <c r="G141" s="52"/>
      <c r="H141" s="52"/>
      <c r="I141" s="26"/>
      <c r="J141" s="26"/>
      <c r="K141" s="26"/>
      <c r="L141" s="22"/>
      <c r="M141" s="23"/>
      <c r="N141" s="23"/>
      <c r="O141" s="26"/>
      <c r="P141" s="26"/>
      <c r="Q141" s="26"/>
      <c r="R141" s="26"/>
      <c r="S141" s="26"/>
      <c r="T141" s="26"/>
      <c r="U141" s="26"/>
      <c r="V141" s="36"/>
    </row>
    <row r="142" spans="1:24" x14ac:dyDescent="0.25">
      <c r="A142" s="31" t="s">
        <v>73</v>
      </c>
      <c r="B142" s="22">
        <v>1</v>
      </c>
      <c r="C142" s="23">
        <v>1</v>
      </c>
      <c r="D142" s="32" t="s">
        <v>73</v>
      </c>
      <c r="E142" s="23">
        <v>76</v>
      </c>
      <c r="F142" s="24">
        <v>38.510000000000005</v>
      </c>
      <c r="G142" s="24">
        <f>884.57+H142</f>
        <v>914.57</v>
      </c>
      <c r="H142" s="24">
        <v>30</v>
      </c>
      <c r="I142" s="47">
        <f>F142+G142-H142</f>
        <v>923.08</v>
      </c>
      <c r="J142" s="26">
        <v>3860.25</v>
      </c>
      <c r="K142" s="26"/>
      <c r="L142" s="22">
        <v>1</v>
      </c>
      <c r="M142" s="23">
        <v>1</v>
      </c>
      <c r="N142" s="23">
        <v>12</v>
      </c>
      <c r="O142" s="27">
        <f>+F142*L142*N142</f>
        <v>462.12000000000006</v>
      </c>
      <c r="P142" s="35">
        <f>G142*L142*N142</f>
        <v>10974.84</v>
      </c>
      <c r="Q142" s="27">
        <f>J142*L142*N142</f>
        <v>46323</v>
      </c>
      <c r="R142" s="27">
        <f>K142*L142*N142</f>
        <v>0</v>
      </c>
      <c r="S142" s="41">
        <f>IF(I142&lt;650,650*0.09,IF(I142&gt;650,I142*0.09))*12</f>
        <v>996.92640000000006</v>
      </c>
      <c r="T142" s="26">
        <f>400+600+(600*0.09)*L142</f>
        <v>1054</v>
      </c>
      <c r="U142" s="26">
        <f>SUM(O142:T142)</f>
        <v>59810.886399999996</v>
      </c>
      <c r="V142" s="81" t="s">
        <v>204</v>
      </c>
    </row>
    <row r="143" spans="1:24" x14ac:dyDescent="0.25">
      <c r="A143" s="31"/>
      <c r="B143" s="22"/>
      <c r="C143" s="23"/>
      <c r="D143" s="32"/>
      <c r="E143" s="29"/>
      <c r="F143" s="26"/>
      <c r="G143" s="26"/>
      <c r="H143" s="26"/>
      <c r="I143" s="26"/>
      <c r="J143" s="26"/>
      <c r="K143" s="26"/>
      <c r="L143" s="22"/>
      <c r="M143" s="23"/>
      <c r="N143" s="23"/>
      <c r="O143" s="26"/>
      <c r="P143" s="26"/>
      <c r="Q143" s="26"/>
      <c r="R143" s="26"/>
      <c r="S143" s="26"/>
      <c r="T143" s="26"/>
      <c r="U143" s="26"/>
      <c r="V143" s="36"/>
    </row>
    <row r="144" spans="1:24" x14ac:dyDescent="0.25">
      <c r="A144" s="31"/>
      <c r="B144" s="22"/>
      <c r="C144" s="23"/>
      <c r="D144" s="53" t="s">
        <v>117</v>
      </c>
      <c r="E144" s="20"/>
      <c r="F144" s="52"/>
      <c r="G144" s="52"/>
      <c r="H144" s="52"/>
      <c r="I144" s="52"/>
      <c r="J144" s="26"/>
      <c r="K144" s="26"/>
      <c r="L144" s="22"/>
      <c r="M144" s="23"/>
      <c r="N144" s="23"/>
      <c r="O144" s="26"/>
      <c r="P144" s="26"/>
      <c r="Q144" s="26"/>
      <c r="R144" s="26"/>
      <c r="S144" s="26"/>
      <c r="T144" s="26"/>
      <c r="U144" s="26"/>
      <c r="V144" s="36"/>
    </row>
    <row r="145" spans="1:24" x14ac:dyDescent="0.25">
      <c r="A145" s="31" t="s">
        <v>50</v>
      </c>
      <c r="B145" s="22">
        <v>1</v>
      </c>
      <c r="C145" s="23">
        <v>1</v>
      </c>
      <c r="D145" s="32" t="s">
        <v>50</v>
      </c>
      <c r="E145" s="82">
        <v>77</v>
      </c>
      <c r="F145" s="24">
        <v>44.53</v>
      </c>
      <c r="G145" s="24">
        <f>1034.95+H145</f>
        <v>1064.95</v>
      </c>
      <c r="H145" s="24">
        <v>30</v>
      </c>
      <c r="I145" s="47">
        <f>F145+G145-H145</f>
        <v>1079.48</v>
      </c>
      <c r="J145" s="26">
        <v>5094</v>
      </c>
      <c r="K145" s="26">
        <v>649.76</v>
      </c>
      <c r="L145" s="22">
        <v>1</v>
      </c>
      <c r="M145" s="23">
        <v>1</v>
      </c>
      <c r="N145" s="23">
        <v>12</v>
      </c>
      <c r="O145" s="27">
        <f>+F145*L145*N145</f>
        <v>534.36</v>
      </c>
      <c r="P145" s="35">
        <f>G145*L145*N145</f>
        <v>12779.400000000001</v>
      </c>
      <c r="Q145" s="27">
        <f>J145*L145*N145</f>
        <v>61128</v>
      </c>
      <c r="R145" s="27">
        <f>K145*L145*N145</f>
        <v>7797.12</v>
      </c>
      <c r="S145" s="41">
        <f>IF(I145&lt;650,650*0.09,IF(I145&gt;650,I145*0.09))*12</f>
        <v>1165.8384000000001</v>
      </c>
      <c r="T145" s="26">
        <f>400+600+(600*0.09)*L145</f>
        <v>1054</v>
      </c>
      <c r="U145" s="26">
        <f>SUM(O145:T145)</f>
        <v>84458.718399999998</v>
      </c>
      <c r="V145" s="49" t="s">
        <v>118</v>
      </c>
    </row>
    <row r="146" spans="1:24" x14ac:dyDescent="0.25">
      <c r="A146" s="31" t="s">
        <v>53</v>
      </c>
      <c r="B146" s="22">
        <v>1</v>
      </c>
      <c r="C146" s="23">
        <v>1</v>
      </c>
      <c r="D146" s="32" t="s">
        <v>53</v>
      </c>
      <c r="E146" s="23">
        <v>78</v>
      </c>
      <c r="F146" s="24">
        <v>24.18</v>
      </c>
      <c r="G146" s="24">
        <f>471.46+H146</f>
        <v>521.46</v>
      </c>
      <c r="H146" s="24">
        <v>50</v>
      </c>
      <c r="I146" s="47">
        <f>F146+G146-H146</f>
        <v>495.64</v>
      </c>
      <c r="J146" s="26">
        <v>2074</v>
      </c>
      <c r="K146" s="26">
        <v>844.49</v>
      </c>
      <c r="L146" s="22">
        <v>1</v>
      </c>
      <c r="M146" s="23">
        <v>1</v>
      </c>
      <c r="N146" s="23">
        <v>12</v>
      </c>
      <c r="O146" s="27">
        <f>+F146*L146*N146</f>
        <v>290.15999999999997</v>
      </c>
      <c r="P146" s="35">
        <f>G146*L146*N146</f>
        <v>6257.52</v>
      </c>
      <c r="Q146" s="27">
        <f>J146*L146*N146</f>
        <v>24888</v>
      </c>
      <c r="R146" s="27">
        <f>K146*L146*N146</f>
        <v>10133.880000000001</v>
      </c>
      <c r="S146" s="41">
        <f>IF(I146&lt;650,650*0.09,IF(I146&gt;650,I146*0.09))*12</f>
        <v>702</v>
      </c>
      <c r="T146" s="26">
        <f>400+600+(600*0.09)*L146</f>
        <v>1054</v>
      </c>
      <c r="U146" s="26">
        <f>SUM(O146:T146)</f>
        <v>43325.56</v>
      </c>
      <c r="V146" s="37" t="s">
        <v>54</v>
      </c>
      <c r="X146" t="s">
        <v>271</v>
      </c>
    </row>
    <row r="147" spans="1:24" x14ac:dyDescent="0.25">
      <c r="A147" s="31"/>
      <c r="B147" s="22"/>
      <c r="C147" s="23"/>
      <c r="D147" s="32"/>
      <c r="E147" s="29"/>
      <c r="F147" s="26"/>
      <c r="G147" s="26"/>
      <c r="H147" s="26"/>
      <c r="I147" s="26"/>
      <c r="J147" s="26"/>
      <c r="K147" s="26"/>
      <c r="L147" s="22"/>
      <c r="M147" s="23"/>
      <c r="N147" s="23"/>
      <c r="O147" s="26"/>
      <c r="P147" s="26"/>
      <c r="Q147" s="26"/>
      <c r="R147" s="26"/>
      <c r="S147" s="26"/>
      <c r="T147" s="26"/>
      <c r="U147" s="26"/>
      <c r="V147" s="36"/>
    </row>
    <row r="148" spans="1:24" x14ac:dyDescent="0.25">
      <c r="A148" s="31"/>
      <c r="B148" s="22"/>
      <c r="C148" s="23"/>
      <c r="D148" s="51" t="s">
        <v>119</v>
      </c>
      <c r="E148" s="51"/>
      <c r="F148" s="143"/>
      <c r="G148" s="143"/>
      <c r="H148" s="26"/>
      <c r="I148" s="26"/>
      <c r="J148" s="26"/>
      <c r="K148" s="26"/>
      <c r="L148" s="22"/>
      <c r="M148" s="23"/>
      <c r="N148" s="23"/>
      <c r="O148" s="26"/>
      <c r="P148" s="26"/>
      <c r="Q148" s="26"/>
      <c r="R148" s="26"/>
      <c r="S148" s="26"/>
      <c r="T148" s="26"/>
      <c r="U148" s="26"/>
      <c r="V148" s="36"/>
    </row>
    <row r="149" spans="1:24" x14ac:dyDescent="0.25">
      <c r="A149" s="31" t="s">
        <v>73</v>
      </c>
      <c r="B149" s="22">
        <v>1</v>
      </c>
      <c r="C149" s="23">
        <v>1</v>
      </c>
      <c r="D149" s="32" t="s">
        <v>73</v>
      </c>
      <c r="E149" s="23">
        <v>79</v>
      </c>
      <c r="F149" s="24">
        <v>38.510000000000005</v>
      </c>
      <c r="G149" s="24">
        <f>884.57+H149</f>
        <v>914.57</v>
      </c>
      <c r="H149" s="24">
        <v>30</v>
      </c>
      <c r="I149" s="47">
        <f>F149+G149-H149</f>
        <v>923.08</v>
      </c>
      <c r="J149" s="26">
        <v>3860.25</v>
      </c>
      <c r="K149" s="26"/>
      <c r="L149" s="22">
        <v>1</v>
      </c>
      <c r="M149" s="23">
        <v>1</v>
      </c>
      <c r="N149" s="23">
        <v>12</v>
      </c>
      <c r="O149" s="27">
        <f>+F149*L149*N149</f>
        <v>462.12000000000006</v>
      </c>
      <c r="P149" s="35">
        <f>G149*L149*N149</f>
        <v>10974.84</v>
      </c>
      <c r="Q149" s="27">
        <f>J149*L149*N149</f>
        <v>46323</v>
      </c>
      <c r="R149" s="27">
        <f>K149*L149*N149</f>
        <v>0</v>
      </c>
      <c r="S149" s="41">
        <f>IF(I149&lt;650,650*0.09,IF(I149&gt;650,I149*0.09))*12</f>
        <v>996.92640000000006</v>
      </c>
      <c r="T149" s="26">
        <f>400+600+(600*0.09)*L149</f>
        <v>1054</v>
      </c>
      <c r="U149" s="26">
        <f>SUM(O149:T149)</f>
        <v>59810.886399999996</v>
      </c>
      <c r="V149" s="37" t="s">
        <v>205</v>
      </c>
    </row>
    <row r="150" spans="1:24" x14ac:dyDescent="0.25">
      <c r="A150" s="31" t="s">
        <v>73</v>
      </c>
      <c r="B150" s="22">
        <v>1</v>
      </c>
      <c r="C150" s="23">
        <v>1</v>
      </c>
      <c r="D150" s="32" t="s">
        <v>73</v>
      </c>
      <c r="E150" s="23">
        <v>80</v>
      </c>
      <c r="F150" s="24">
        <v>38.510000000000005</v>
      </c>
      <c r="G150" s="24">
        <v>961.93</v>
      </c>
      <c r="H150" s="24">
        <v>90</v>
      </c>
      <c r="I150" s="47">
        <f>F150+G150-H150</f>
        <v>910.43999999999994</v>
      </c>
      <c r="J150" s="26">
        <v>3568</v>
      </c>
      <c r="K150" s="26">
        <v>117.08</v>
      </c>
      <c r="L150" s="22">
        <v>1</v>
      </c>
      <c r="M150" s="23">
        <v>1</v>
      </c>
      <c r="N150" s="23">
        <v>12</v>
      </c>
      <c r="O150" s="27">
        <f>+F150*L150*N150</f>
        <v>462.12000000000006</v>
      </c>
      <c r="P150" s="35">
        <f>G150*L150*N150</f>
        <v>11543.16</v>
      </c>
      <c r="Q150" s="27">
        <f>J150*L150*N150</f>
        <v>42816</v>
      </c>
      <c r="R150" s="27">
        <f>K150*L150*N150</f>
        <v>1404.96</v>
      </c>
      <c r="S150" s="41">
        <f>IF(I150&lt;650,650*0.09,IF(I150&gt;650,I150*0.09))*12</f>
        <v>983.27520000000004</v>
      </c>
      <c r="T150" s="26">
        <f>400+600+(600*0.09)*L150</f>
        <v>1054</v>
      </c>
      <c r="U150" s="26">
        <f>SUM(O150:T150)</f>
        <v>58263.515199999994</v>
      </c>
      <c r="V150" s="37" t="s">
        <v>108</v>
      </c>
      <c r="X150" t="s">
        <v>272</v>
      </c>
    </row>
    <row r="151" spans="1:24" x14ac:dyDescent="0.25">
      <c r="A151" s="31" t="s">
        <v>81</v>
      </c>
      <c r="B151" s="22">
        <v>1</v>
      </c>
      <c r="C151" s="23">
        <v>1</v>
      </c>
      <c r="D151" s="32" t="s">
        <v>81</v>
      </c>
      <c r="E151" s="23">
        <v>81</v>
      </c>
      <c r="F151" s="24">
        <v>30.26</v>
      </c>
      <c r="G151" s="24">
        <f>659.43+H151</f>
        <v>741.43</v>
      </c>
      <c r="H151" s="24">
        <v>82</v>
      </c>
      <c r="I151" s="47">
        <f>F151+G151-H151</f>
        <v>689.68999999999994</v>
      </c>
      <c r="J151" s="26">
        <v>2479</v>
      </c>
      <c r="K151" s="26">
        <v>891.54</v>
      </c>
      <c r="L151" s="22">
        <v>1</v>
      </c>
      <c r="M151" s="23">
        <v>1</v>
      </c>
      <c r="N151" s="23">
        <v>12</v>
      </c>
      <c r="O151" s="27">
        <f>+F151*L151*N151</f>
        <v>363.12</v>
      </c>
      <c r="P151" s="35">
        <f>G151*L151*N151</f>
        <v>8897.16</v>
      </c>
      <c r="Q151" s="27">
        <f>J151*L151*N151</f>
        <v>29748</v>
      </c>
      <c r="R151" s="27">
        <f>K151*L151*N151</f>
        <v>10698.48</v>
      </c>
      <c r="S151" s="41">
        <f>IF(I151&lt;650,650*0.09,IF(I151&gt;650,I151*0.09))*12</f>
        <v>744.86519999999996</v>
      </c>
      <c r="T151" s="26">
        <f>400+600+(600*0.09)*L151</f>
        <v>1054</v>
      </c>
      <c r="U151" s="26">
        <f>SUM(O151:T151)</f>
        <v>51505.625199999995</v>
      </c>
      <c r="V151" s="37" t="s">
        <v>120</v>
      </c>
      <c r="X151" t="s">
        <v>273</v>
      </c>
    </row>
    <row r="152" spans="1:24" x14ac:dyDescent="0.25">
      <c r="A152" s="31" t="s">
        <v>121</v>
      </c>
      <c r="B152" s="22">
        <v>1</v>
      </c>
      <c r="C152" s="23">
        <v>1</v>
      </c>
      <c r="D152" s="32" t="s">
        <v>121</v>
      </c>
      <c r="E152" s="23">
        <v>82</v>
      </c>
      <c r="F152" s="24">
        <v>29.66</v>
      </c>
      <c r="G152" s="24">
        <f>806.96+H152</f>
        <v>875.96</v>
      </c>
      <c r="H152" s="24">
        <v>69</v>
      </c>
      <c r="I152" s="47">
        <f>F152+G152-H152</f>
        <v>836.62</v>
      </c>
      <c r="J152" s="26">
        <v>2479</v>
      </c>
      <c r="K152" s="26">
        <v>891.54</v>
      </c>
      <c r="L152" s="22">
        <v>1</v>
      </c>
      <c r="M152" s="23">
        <v>1</v>
      </c>
      <c r="N152" s="23">
        <v>12</v>
      </c>
      <c r="O152" s="27">
        <f>+F152*L152*N152</f>
        <v>355.92</v>
      </c>
      <c r="P152" s="35">
        <f>G152*L152*N152</f>
        <v>10511.52</v>
      </c>
      <c r="Q152" s="27">
        <f>J152*L152*N152</f>
        <v>29748</v>
      </c>
      <c r="R152" s="27">
        <f>K152*L152*N152</f>
        <v>10698.48</v>
      </c>
      <c r="S152" s="41">
        <f>IF(I152&lt;650,650*0.09,IF(I152&gt;650,I152*0.09))*12</f>
        <v>903.54960000000005</v>
      </c>
      <c r="T152" s="26">
        <f>400+600+(600*0.09)*L152</f>
        <v>1054</v>
      </c>
      <c r="U152" s="26">
        <f>SUM(O152:T152)</f>
        <v>53271.469599999997</v>
      </c>
      <c r="V152" s="37" t="s">
        <v>122</v>
      </c>
      <c r="X152" t="s">
        <v>274</v>
      </c>
    </row>
    <row r="153" spans="1:24" x14ac:dyDescent="0.25">
      <c r="A153" s="31" t="s">
        <v>55</v>
      </c>
      <c r="B153" s="22">
        <v>1</v>
      </c>
      <c r="C153" s="23">
        <v>1</v>
      </c>
      <c r="D153" s="32" t="s">
        <v>55</v>
      </c>
      <c r="E153" s="23">
        <v>83</v>
      </c>
      <c r="F153" s="24">
        <v>23.99</v>
      </c>
      <c r="G153" s="24">
        <f>473.98+H153</f>
        <v>518.98</v>
      </c>
      <c r="H153" s="24">
        <v>45</v>
      </c>
      <c r="I153" s="47">
        <f>F153+G153-H153</f>
        <v>497.97</v>
      </c>
      <c r="J153" s="26">
        <v>2074</v>
      </c>
      <c r="K153" s="26">
        <v>844.49</v>
      </c>
      <c r="L153" s="22">
        <v>1</v>
      </c>
      <c r="M153" s="23">
        <v>1</v>
      </c>
      <c r="N153" s="23">
        <v>12</v>
      </c>
      <c r="O153" s="27">
        <f>+F153*L153*N153</f>
        <v>287.88</v>
      </c>
      <c r="P153" s="35">
        <f>G153*L153*N153</f>
        <v>6227.76</v>
      </c>
      <c r="Q153" s="27">
        <f>J153*L153*N153</f>
        <v>24888</v>
      </c>
      <c r="R153" s="27">
        <f>K153*L153*N153</f>
        <v>10133.880000000001</v>
      </c>
      <c r="S153" s="41">
        <f>IF(I153&lt;650,650*0.09,IF(I153&gt;650,I153*0.09))*12</f>
        <v>702</v>
      </c>
      <c r="T153" s="26">
        <f>400+600+(600*0.09)*L153</f>
        <v>1054</v>
      </c>
      <c r="U153" s="26">
        <f>SUM(O153:T153)</f>
        <v>43293.520000000004</v>
      </c>
      <c r="V153" s="37" t="s">
        <v>54</v>
      </c>
      <c r="X153" t="s">
        <v>275</v>
      </c>
    </row>
    <row r="154" spans="1:24" x14ac:dyDescent="0.25">
      <c r="A154" s="31"/>
      <c r="B154" s="22"/>
      <c r="C154" s="23"/>
      <c r="D154" s="32"/>
      <c r="E154" s="29"/>
      <c r="F154" s="26"/>
      <c r="G154" s="26"/>
      <c r="H154" s="26"/>
      <c r="I154" s="26"/>
      <c r="J154" s="26"/>
      <c r="K154" s="26"/>
      <c r="L154" s="22"/>
      <c r="M154" s="23"/>
      <c r="N154" s="23"/>
      <c r="O154" s="26"/>
      <c r="P154" s="26"/>
      <c r="Q154" s="26"/>
      <c r="R154" s="26"/>
      <c r="S154" s="26"/>
      <c r="T154" s="26"/>
      <c r="U154" s="26"/>
      <c r="V154" s="36"/>
    </row>
    <row r="155" spans="1:24" x14ac:dyDescent="0.25">
      <c r="A155" s="31"/>
      <c r="B155" s="22"/>
      <c r="C155" s="23"/>
      <c r="D155" s="51" t="s">
        <v>123</v>
      </c>
      <c r="E155" s="51"/>
      <c r="F155" s="52"/>
      <c r="G155" s="52"/>
      <c r="H155" s="52"/>
      <c r="I155" s="26"/>
      <c r="J155" s="26"/>
      <c r="K155" s="26"/>
      <c r="L155" s="22"/>
      <c r="M155" s="23"/>
      <c r="N155" s="23"/>
      <c r="O155" s="26"/>
      <c r="P155" s="26"/>
      <c r="Q155" s="26"/>
      <c r="R155" s="26"/>
      <c r="S155" s="26"/>
      <c r="T155" s="26"/>
      <c r="U155" s="26"/>
      <c r="V155" s="36"/>
    </row>
    <row r="156" spans="1:24" x14ac:dyDescent="0.25">
      <c r="A156" s="31" t="s">
        <v>73</v>
      </c>
      <c r="B156" s="22">
        <v>1</v>
      </c>
      <c r="C156" s="23">
        <v>1</v>
      </c>
      <c r="D156" s="32" t="s">
        <v>73</v>
      </c>
      <c r="E156" s="23">
        <v>84</v>
      </c>
      <c r="F156" s="24">
        <v>38.510000000000005</v>
      </c>
      <c r="G156" s="24">
        <f>884.57+H156</f>
        <v>914.57</v>
      </c>
      <c r="H156" s="24">
        <v>30</v>
      </c>
      <c r="I156" s="47">
        <f>F156+G156-H156</f>
        <v>923.08</v>
      </c>
      <c r="J156" s="26">
        <v>3860.25</v>
      </c>
      <c r="K156" s="26"/>
      <c r="L156" s="22">
        <v>1</v>
      </c>
      <c r="M156" s="23">
        <v>1</v>
      </c>
      <c r="N156" s="23">
        <v>12</v>
      </c>
      <c r="O156" s="27">
        <f>+F156*L156*N156</f>
        <v>462.12000000000006</v>
      </c>
      <c r="P156" s="35">
        <f>G156*L156*N156</f>
        <v>10974.84</v>
      </c>
      <c r="Q156" s="27">
        <f>J156*L156*N156</f>
        <v>46323</v>
      </c>
      <c r="R156" s="27">
        <f>K156*L156*N156</f>
        <v>0</v>
      </c>
      <c r="S156" s="41">
        <f>IF(I156&lt;650,650*0.09,IF(I156&gt;650,I156*0.09))*12</f>
        <v>996.92640000000006</v>
      </c>
      <c r="T156" s="26">
        <f>400+600+(600*0.09)*L156</f>
        <v>1054</v>
      </c>
      <c r="U156" s="26">
        <f>SUM(O156:T156)</f>
        <v>59810.886399999996</v>
      </c>
      <c r="V156" s="81" t="s">
        <v>206</v>
      </c>
    </row>
    <row r="157" spans="1:24" x14ac:dyDescent="0.25">
      <c r="A157" s="31" t="s">
        <v>81</v>
      </c>
      <c r="B157" s="22">
        <v>1</v>
      </c>
      <c r="C157" s="23">
        <v>1</v>
      </c>
      <c r="D157" s="32" t="s">
        <v>81</v>
      </c>
      <c r="E157" s="23">
        <v>85</v>
      </c>
      <c r="F157" s="24">
        <v>30.26</v>
      </c>
      <c r="G157" s="24">
        <f>557.69+H157</f>
        <v>639.69000000000005</v>
      </c>
      <c r="H157" s="24">
        <v>82</v>
      </c>
      <c r="I157" s="47">
        <f>F157+G157-H157</f>
        <v>587.95000000000005</v>
      </c>
      <c r="J157" s="26">
        <v>2479</v>
      </c>
      <c r="K157" s="26">
        <v>891.54</v>
      </c>
      <c r="L157" s="22">
        <v>1</v>
      </c>
      <c r="M157" s="23">
        <v>1</v>
      </c>
      <c r="N157" s="23">
        <v>12</v>
      </c>
      <c r="O157" s="27">
        <f>+F157*L157*N157</f>
        <v>363.12</v>
      </c>
      <c r="P157" s="35">
        <f>G157*L157*N157</f>
        <v>7676.2800000000007</v>
      </c>
      <c r="Q157" s="27">
        <f>J157*L157*N157</f>
        <v>29748</v>
      </c>
      <c r="R157" s="27">
        <f>K157*L157*N157</f>
        <v>10698.48</v>
      </c>
      <c r="S157" s="41">
        <f>IF(I157&lt;650,650*0.09,IF(I157&gt;650,I157*0.09))*12</f>
        <v>702</v>
      </c>
      <c r="T157" s="26">
        <f>400+600+(600*0.09)*L157</f>
        <v>1054</v>
      </c>
      <c r="U157" s="26">
        <f>SUM(O157:T157)</f>
        <v>50241.880000000005</v>
      </c>
      <c r="V157" s="37" t="s">
        <v>124</v>
      </c>
      <c r="X157" t="s">
        <v>276</v>
      </c>
    </row>
    <row r="158" spans="1:24" x14ac:dyDescent="0.25">
      <c r="A158" s="31" t="s">
        <v>81</v>
      </c>
      <c r="B158" s="22">
        <v>1</v>
      </c>
      <c r="C158" s="23">
        <v>1</v>
      </c>
      <c r="D158" s="32" t="s">
        <v>81</v>
      </c>
      <c r="E158" s="23">
        <v>86</v>
      </c>
      <c r="F158" s="24">
        <v>30.26</v>
      </c>
      <c r="G158" s="24">
        <f>708.59+H158</f>
        <v>790.59</v>
      </c>
      <c r="H158" s="24">
        <v>82</v>
      </c>
      <c r="I158" s="47">
        <f>F158+G158-H158</f>
        <v>738.85</v>
      </c>
      <c r="J158" s="26">
        <v>2479</v>
      </c>
      <c r="K158" s="26">
        <v>891.54</v>
      </c>
      <c r="L158" s="22">
        <v>1</v>
      </c>
      <c r="M158" s="23">
        <v>1</v>
      </c>
      <c r="N158" s="23">
        <v>12</v>
      </c>
      <c r="O158" s="27">
        <f>+F158*L158*N158</f>
        <v>363.12</v>
      </c>
      <c r="P158" s="35">
        <f>G158*L158*N158</f>
        <v>9487.08</v>
      </c>
      <c r="Q158" s="27">
        <f>J158*L158*N158</f>
        <v>29748</v>
      </c>
      <c r="R158" s="27">
        <f>K158*L158*N158</f>
        <v>10698.48</v>
      </c>
      <c r="S158" s="41">
        <f>IF(I158&lt;650,650*0.09,IF(I158&gt;650,I158*0.09))*12</f>
        <v>797.95799999999997</v>
      </c>
      <c r="T158" s="26">
        <f>400+600+(600*0.09)*L158</f>
        <v>1054</v>
      </c>
      <c r="U158" s="26">
        <f>SUM(O158:T158)</f>
        <v>52148.637999999992</v>
      </c>
      <c r="V158" s="37" t="s">
        <v>124</v>
      </c>
      <c r="X158" t="s">
        <v>251</v>
      </c>
    </row>
    <row r="159" spans="1:24" x14ac:dyDescent="0.25">
      <c r="A159" s="31" t="s">
        <v>65</v>
      </c>
      <c r="B159" s="22">
        <v>1</v>
      </c>
      <c r="C159" s="23">
        <v>0</v>
      </c>
      <c r="D159" s="32" t="s">
        <v>65</v>
      </c>
      <c r="E159" s="23">
        <v>87</v>
      </c>
      <c r="F159" s="24">
        <v>30.1</v>
      </c>
      <c r="G159" s="24">
        <f>704.67+H159</f>
        <v>779.67</v>
      </c>
      <c r="H159" s="24">
        <v>75</v>
      </c>
      <c r="I159" s="47">
        <f>F159+G159-H159</f>
        <v>734.77</v>
      </c>
      <c r="J159" s="26">
        <v>2479</v>
      </c>
      <c r="K159" s="26">
        <v>891.54</v>
      </c>
      <c r="L159" s="22">
        <v>1</v>
      </c>
      <c r="M159" s="23">
        <v>0</v>
      </c>
      <c r="N159" s="23">
        <v>12</v>
      </c>
      <c r="O159" s="27">
        <f>+F159*L159*N159</f>
        <v>361.20000000000005</v>
      </c>
      <c r="P159" s="35">
        <f>G159*L159*N159</f>
        <v>9356.0399999999991</v>
      </c>
      <c r="Q159" s="27">
        <f>J159*L159*N159</f>
        <v>29748</v>
      </c>
      <c r="R159" s="27">
        <f>K159*L159*N159</f>
        <v>10698.48</v>
      </c>
      <c r="S159" s="41">
        <f>IF(I159&lt;650,650*0.09,IF(I159&gt;650,I159*0.09))*12</f>
        <v>793.55160000000001</v>
      </c>
      <c r="T159" s="26">
        <f>400+600+(600*0.09)*L159</f>
        <v>1054</v>
      </c>
      <c r="U159" s="26">
        <f>SUM(O159:T159)</f>
        <v>52011.2716</v>
      </c>
      <c r="V159" s="37" t="s">
        <v>125</v>
      </c>
      <c r="X159" s="136" t="s">
        <v>307</v>
      </c>
    </row>
    <row r="160" spans="1:24" x14ac:dyDescent="0.25">
      <c r="A160" s="31" t="s">
        <v>58</v>
      </c>
      <c r="B160" s="22">
        <v>1</v>
      </c>
      <c r="C160" s="23">
        <v>1</v>
      </c>
      <c r="D160" s="32" t="s">
        <v>58</v>
      </c>
      <c r="E160" s="23">
        <v>88</v>
      </c>
      <c r="F160" s="24">
        <v>23.39</v>
      </c>
      <c r="G160" s="24">
        <f>469.11+H160</f>
        <v>499.11</v>
      </c>
      <c r="H160" s="24">
        <v>30</v>
      </c>
      <c r="I160" s="47">
        <f>F160+G160-H160</f>
        <v>492.5</v>
      </c>
      <c r="J160" s="26">
        <v>2074</v>
      </c>
      <c r="K160" s="26">
        <v>656.14</v>
      </c>
      <c r="L160" s="22">
        <v>1</v>
      </c>
      <c r="M160" s="23">
        <v>1</v>
      </c>
      <c r="N160" s="23">
        <v>12</v>
      </c>
      <c r="O160" s="27">
        <f>+F160*L160*N160</f>
        <v>280.68</v>
      </c>
      <c r="P160" s="35">
        <f>G160*L160*N160</f>
        <v>5989.32</v>
      </c>
      <c r="Q160" s="27">
        <f>J160*L160*N160</f>
        <v>24888</v>
      </c>
      <c r="R160" s="27">
        <f>K160*L160*N160</f>
        <v>7873.68</v>
      </c>
      <c r="S160" s="41">
        <f>IF(I160&lt;650,650*0.09,IF(I160&gt;650,I160*0.09))*12</f>
        <v>702</v>
      </c>
      <c r="T160" s="26">
        <f>400+600+(600*0.09)*L160</f>
        <v>1054</v>
      </c>
      <c r="U160" s="26">
        <f>SUM(O160:T160)</f>
        <v>40787.68</v>
      </c>
      <c r="V160" s="37" t="s">
        <v>126</v>
      </c>
      <c r="X160" t="s">
        <v>277</v>
      </c>
    </row>
    <row r="161" spans="1:24" x14ac:dyDescent="0.25">
      <c r="A161" s="31"/>
      <c r="B161" s="22"/>
      <c r="C161" s="23"/>
      <c r="D161" s="29"/>
      <c r="E161" s="29"/>
      <c r="F161" s="29"/>
      <c r="G161" s="26"/>
      <c r="H161" s="26"/>
      <c r="I161" s="26"/>
      <c r="J161" s="26"/>
      <c r="K161" s="26"/>
      <c r="L161" s="22"/>
      <c r="M161" s="23"/>
      <c r="N161" s="23"/>
      <c r="O161" s="26"/>
      <c r="P161" s="26"/>
      <c r="Q161" s="26"/>
      <c r="R161" s="26"/>
      <c r="S161" s="26"/>
      <c r="T161" s="26"/>
      <c r="U161" s="26"/>
      <c r="V161" s="36"/>
    </row>
    <row r="162" spans="1:24" x14ac:dyDescent="0.25">
      <c r="A162" s="31"/>
      <c r="B162" s="22"/>
      <c r="C162" s="23"/>
      <c r="D162" s="51" t="s">
        <v>127</v>
      </c>
      <c r="E162" s="51"/>
      <c r="F162" s="52"/>
      <c r="G162" s="52"/>
      <c r="H162" s="52"/>
      <c r="I162" s="26"/>
      <c r="J162" s="26"/>
      <c r="K162" s="26"/>
      <c r="L162" s="22"/>
      <c r="M162" s="23"/>
      <c r="N162" s="23"/>
      <c r="O162" s="26"/>
      <c r="P162" s="26"/>
      <c r="Q162" s="26"/>
      <c r="R162" s="26"/>
      <c r="S162" s="26"/>
      <c r="T162" s="26"/>
      <c r="U162" s="26"/>
      <c r="V162" s="36"/>
    </row>
    <row r="163" spans="1:24" x14ac:dyDescent="0.25">
      <c r="A163" s="31" t="s">
        <v>73</v>
      </c>
      <c r="B163" s="22">
        <v>1</v>
      </c>
      <c r="C163" s="23">
        <v>0</v>
      </c>
      <c r="D163" s="31"/>
      <c r="E163" s="23"/>
      <c r="F163" s="24"/>
      <c r="G163" s="24"/>
      <c r="H163" s="24"/>
      <c r="I163" s="47"/>
      <c r="J163" s="26"/>
      <c r="K163" s="26"/>
      <c r="L163" s="22"/>
      <c r="M163" s="23"/>
      <c r="N163" s="23"/>
      <c r="O163" s="27"/>
      <c r="P163" s="35"/>
      <c r="Q163" s="27"/>
      <c r="R163" s="27"/>
      <c r="S163" s="41"/>
      <c r="T163" s="26"/>
      <c r="U163" s="26"/>
      <c r="V163" s="81"/>
      <c r="X163" s="136" t="s">
        <v>232</v>
      </c>
    </row>
    <row r="164" spans="1:24" x14ac:dyDescent="0.25">
      <c r="A164" s="31" t="s">
        <v>73</v>
      </c>
      <c r="B164" s="22">
        <v>1</v>
      </c>
      <c r="C164" s="23">
        <v>1</v>
      </c>
      <c r="D164" s="32" t="s">
        <v>73</v>
      </c>
      <c r="E164" s="23">
        <v>89</v>
      </c>
      <c r="F164" s="24">
        <v>38.510000000000005</v>
      </c>
      <c r="G164" s="24">
        <f>817.12+H164</f>
        <v>907.12</v>
      </c>
      <c r="H164" s="24">
        <v>90</v>
      </c>
      <c r="I164" s="47">
        <f>F164+G164-H164</f>
        <v>855.63</v>
      </c>
      <c r="J164" s="26">
        <v>3568</v>
      </c>
      <c r="K164" s="26">
        <v>117.08</v>
      </c>
      <c r="L164" s="22">
        <v>1</v>
      </c>
      <c r="M164" s="23">
        <v>1</v>
      </c>
      <c r="N164" s="23">
        <v>12</v>
      </c>
      <c r="O164" s="27">
        <f>+F164*L164*N164</f>
        <v>462.12000000000006</v>
      </c>
      <c r="P164" s="35">
        <f>G164*L164*N164</f>
        <v>10885.44</v>
      </c>
      <c r="Q164" s="27">
        <f>J164*L164*N164</f>
        <v>42816</v>
      </c>
      <c r="R164" s="27">
        <f>K164*L164*N164</f>
        <v>1404.96</v>
      </c>
      <c r="S164" s="41">
        <f>IF(I164&lt;650,650*0.09,IF(I164&gt;650,I164*0.09))*12</f>
        <v>924.08039999999994</v>
      </c>
      <c r="T164" s="26">
        <f>400+600+(600*0.09)*L164</f>
        <v>1054</v>
      </c>
      <c r="U164" s="26">
        <f>SUM(O164:T164)</f>
        <v>57546.600399999996</v>
      </c>
      <c r="V164" s="37" t="s">
        <v>108</v>
      </c>
      <c r="X164" t="s">
        <v>278</v>
      </c>
    </row>
    <row r="165" spans="1:24" x14ac:dyDescent="0.25">
      <c r="A165" s="31" t="s">
        <v>121</v>
      </c>
      <c r="B165" s="22">
        <v>1</v>
      </c>
      <c r="C165" s="23">
        <v>0</v>
      </c>
      <c r="D165" s="32"/>
      <c r="E165" s="23"/>
      <c r="F165" s="24"/>
      <c r="G165" s="24"/>
      <c r="H165" s="24"/>
      <c r="I165" s="47"/>
      <c r="J165" s="26"/>
      <c r="K165" s="26"/>
      <c r="L165" s="22"/>
      <c r="M165" s="23"/>
      <c r="N165" s="23"/>
      <c r="O165" s="27"/>
      <c r="P165" s="35"/>
      <c r="Q165" s="27"/>
      <c r="R165" s="27"/>
      <c r="S165" s="41"/>
      <c r="T165" s="26"/>
      <c r="U165" s="26"/>
      <c r="V165" s="37"/>
      <c r="X165" s="136" t="s">
        <v>232</v>
      </c>
    </row>
    <row r="166" spans="1:24" x14ac:dyDescent="0.25">
      <c r="A166" s="99"/>
      <c r="B166" s="100"/>
      <c r="C166" s="101"/>
      <c r="D166" s="112"/>
      <c r="E166" s="112"/>
      <c r="F166" s="112"/>
      <c r="G166" s="106"/>
      <c r="H166" s="106"/>
      <c r="I166" s="106"/>
      <c r="J166" s="106"/>
      <c r="K166" s="106"/>
      <c r="L166" s="100"/>
      <c r="M166" s="101"/>
      <c r="N166" s="101"/>
      <c r="O166" s="106"/>
      <c r="P166" s="106"/>
      <c r="Q166" s="106"/>
      <c r="R166" s="106"/>
      <c r="S166" s="106"/>
      <c r="T166" s="106"/>
      <c r="U166" s="106"/>
      <c r="V166" s="113"/>
    </row>
    <row r="167" spans="1:24" x14ac:dyDescent="0.25">
      <c r="A167" s="31"/>
      <c r="B167" s="22"/>
      <c r="C167" s="23"/>
      <c r="D167" s="111" t="s">
        <v>128</v>
      </c>
      <c r="E167" s="111"/>
      <c r="F167" s="52"/>
      <c r="G167" s="52"/>
      <c r="H167" s="52"/>
      <c r="I167" s="26"/>
      <c r="J167" s="26"/>
      <c r="K167" s="26"/>
      <c r="L167" s="22"/>
      <c r="M167" s="23"/>
      <c r="N167" s="23"/>
      <c r="O167" s="26"/>
      <c r="P167" s="26"/>
      <c r="Q167" s="26"/>
      <c r="R167" s="26"/>
      <c r="S167" s="26"/>
      <c r="T167" s="26"/>
      <c r="U167" s="26"/>
      <c r="V167" s="36"/>
    </row>
    <row r="168" spans="1:24" x14ac:dyDescent="0.25">
      <c r="A168" s="31" t="s">
        <v>73</v>
      </c>
      <c r="B168" s="22">
        <v>1</v>
      </c>
      <c r="C168" s="23">
        <v>1</v>
      </c>
      <c r="D168" s="32" t="s">
        <v>73</v>
      </c>
      <c r="E168" s="23">
        <v>90</v>
      </c>
      <c r="F168" s="24">
        <v>38.510000000000005</v>
      </c>
      <c r="G168" s="24">
        <f>884.57+H168</f>
        <v>914.57</v>
      </c>
      <c r="H168" s="24">
        <v>30</v>
      </c>
      <c r="I168" s="47">
        <f>F168+G168-H168</f>
        <v>923.08</v>
      </c>
      <c r="J168" s="26">
        <v>3860.25</v>
      </c>
      <c r="K168" s="26"/>
      <c r="L168" s="22">
        <v>1</v>
      </c>
      <c r="M168" s="23">
        <v>1</v>
      </c>
      <c r="N168" s="23">
        <v>12</v>
      </c>
      <c r="O168" s="27">
        <f>+F168*L168*N168</f>
        <v>462.12000000000006</v>
      </c>
      <c r="P168" s="35">
        <f>G168*L168*N168</f>
        <v>10974.84</v>
      </c>
      <c r="Q168" s="27">
        <f>J168*L168*N168</f>
        <v>46323</v>
      </c>
      <c r="R168" s="27">
        <f>K168*L168*N168</f>
        <v>0</v>
      </c>
      <c r="S168" s="41">
        <f>IF(I168&lt;650,650*0.09,IF(I168&gt;650,I168*0.09))*12</f>
        <v>996.92640000000006</v>
      </c>
      <c r="T168" s="26">
        <f>400+600+(600*0.09)*L168</f>
        <v>1054</v>
      </c>
      <c r="U168" s="26">
        <f>SUM(O168:T168)</f>
        <v>59810.886399999996</v>
      </c>
      <c r="V168" s="81" t="s">
        <v>207</v>
      </c>
    </row>
    <row r="169" spans="1:24" x14ac:dyDescent="0.25">
      <c r="A169" s="31" t="s">
        <v>65</v>
      </c>
      <c r="B169" s="22">
        <v>1</v>
      </c>
      <c r="C169" s="23">
        <v>1</v>
      </c>
      <c r="D169" s="32" t="s">
        <v>65</v>
      </c>
      <c r="E169" s="23">
        <v>91</v>
      </c>
      <c r="F169" s="24">
        <v>30.1</v>
      </c>
      <c r="G169" s="24">
        <f>749.77+H169</f>
        <v>824.77</v>
      </c>
      <c r="H169" s="24">
        <v>75</v>
      </c>
      <c r="I169" s="47">
        <f>F169+G169-H169</f>
        <v>779.87</v>
      </c>
      <c r="J169" s="26">
        <v>2479</v>
      </c>
      <c r="K169" s="26">
        <v>891.54</v>
      </c>
      <c r="L169" s="22">
        <v>1</v>
      </c>
      <c r="M169" s="23">
        <v>1</v>
      </c>
      <c r="N169" s="23">
        <v>12</v>
      </c>
      <c r="O169" s="27">
        <f>+F169*L169*N169</f>
        <v>361.20000000000005</v>
      </c>
      <c r="P169" s="35">
        <f>G169*L169*N169</f>
        <v>9897.24</v>
      </c>
      <c r="Q169" s="27">
        <f>J169*L169*N169</f>
        <v>29748</v>
      </c>
      <c r="R169" s="27">
        <f>K169*L169*N169</f>
        <v>10698.48</v>
      </c>
      <c r="S169" s="41">
        <f>IF(I169&lt;650,650*0.09,IF(I169&gt;650,I169*0.09))*12</f>
        <v>842.25959999999998</v>
      </c>
      <c r="T169" s="26">
        <f>400+600+(600*0.09)*L169</f>
        <v>1054</v>
      </c>
      <c r="U169" s="26">
        <f>SUM(O169:T169)</f>
        <v>52601.179599999996</v>
      </c>
      <c r="V169" s="37" t="s">
        <v>129</v>
      </c>
      <c r="X169" t="s">
        <v>279</v>
      </c>
    </row>
    <row r="170" spans="1:24" x14ac:dyDescent="0.25">
      <c r="A170" s="31" t="s">
        <v>65</v>
      </c>
      <c r="B170" s="22">
        <v>1</v>
      </c>
      <c r="C170" s="23">
        <v>1</v>
      </c>
      <c r="D170" s="32" t="s">
        <v>65</v>
      </c>
      <c r="E170" s="23">
        <v>92</v>
      </c>
      <c r="F170" s="24">
        <v>30.1</v>
      </c>
      <c r="G170" s="24">
        <f>759.27+H170</f>
        <v>834.27</v>
      </c>
      <c r="H170" s="24">
        <v>75</v>
      </c>
      <c r="I170" s="47">
        <f>F170+G170-H170</f>
        <v>789.37</v>
      </c>
      <c r="J170" s="26">
        <v>2479</v>
      </c>
      <c r="K170" s="26">
        <v>891.54</v>
      </c>
      <c r="L170" s="22">
        <v>1</v>
      </c>
      <c r="M170" s="23">
        <v>1</v>
      </c>
      <c r="N170" s="23">
        <v>12</v>
      </c>
      <c r="O170" s="27">
        <f>+F170*L170*N170</f>
        <v>361.20000000000005</v>
      </c>
      <c r="P170" s="35">
        <f>G170*L170*N170</f>
        <v>10011.24</v>
      </c>
      <c r="Q170" s="27">
        <f>J170*L170*N170</f>
        <v>29748</v>
      </c>
      <c r="R170" s="27">
        <f>K170*L170*N170</f>
        <v>10698.48</v>
      </c>
      <c r="S170" s="41">
        <f>IF(I170&lt;650,650*0.09,IF(I170&gt;650,I170*0.09))*12</f>
        <v>852.51960000000008</v>
      </c>
      <c r="T170" s="26">
        <f>400+600+(600*0.09)*L170</f>
        <v>1054</v>
      </c>
      <c r="U170" s="26">
        <f>SUM(O170:T170)</f>
        <v>52725.439599999998</v>
      </c>
      <c r="V170" s="37" t="s">
        <v>129</v>
      </c>
      <c r="X170" t="s">
        <v>280</v>
      </c>
    </row>
    <row r="171" spans="1:24" x14ac:dyDescent="0.25">
      <c r="A171" s="31" t="s">
        <v>130</v>
      </c>
      <c r="B171" s="22">
        <v>1</v>
      </c>
      <c r="C171" s="23">
        <v>1</v>
      </c>
      <c r="D171" s="32" t="s">
        <v>130</v>
      </c>
      <c r="E171" s="23">
        <v>93</v>
      </c>
      <c r="F171" s="24">
        <v>29.21</v>
      </c>
      <c r="G171" s="24">
        <f>713.74+H171</f>
        <v>777.74</v>
      </c>
      <c r="H171" s="24">
        <v>64</v>
      </c>
      <c r="I171" s="47">
        <f>F171+G171-H171</f>
        <v>742.95</v>
      </c>
      <c r="J171" s="26">
        <v>2479</v>
      </c>
      <c r="K171" s="26">
        <v>891.54</v>
      </c>
      <c r="L171" s="22">
        <v>1</v>
      </c>
      <c r="M171" s="23">
        <v>1</v>
      </c>
      <c r="N171" s="23">
        <v>12</v>
      </c>
      <c r="O171" s="27">
        <f>+F171*L171*N171</f>
        <v>350.52</v>
      </c>
      <c r="P171" s="35">
        <f>G171*L171*N171</f>
        <v>9332.880000000001</v>
      </c>
      <c r="Q171" s="27">
        <f>J171*L171*N171</f>
        <v>29748</v>
      </c>
      <c r="R171" s="27">
        <f>K171*L171*N171</f>
        <v>10698.48</v>
      </c>
      <c r="S171" s="41">
        <f>IF(I171&lt;650,650*0.09,IF(I171&gt;650,I171*0.09))*12</f>
        <v>802.38599999999997</v>
      </c>
      <c r="T171" s="26">
        <f>400+600+(600*0.09)*L171</f>
        <v>1054</v>
      </c>
      <c r="U171" s="26">
        <f>SUM(O171:T171)</f>
        <v>51986.266000000003</v>
      </c>
      <c r="V171" s="37" t="s">
        <v>131</v>
      </c>
      <c r="X171" t="s">
        <v>281</v>
      </c>
    </row>
    <row r="172" spans="1:24" x14ac:dyDescent="0.25">
      <c r="A172" s="31" t="s">
        <v>53</v>
      </c>
      <c r="B172" s="22">
        <v>1</v>
      </c>
      <c r="C172" s="23">
        <v>1</v>
      </c>
      <c r="D172" s="32" t="s">
        <v>53</v>
      </c>
      <c r="E172" s="23">
        <v>94</v>
      </c>
      <c r="F172" s="24">
        <v>74.180000000000007</v>
      </c>
      <c r="G172" s="24">
        <f>471.44+H172</f>
        <v>521.44000000000005</v>
      </c>
      <c r="H172" s="24">
        <v>50</v>
      </c>
      <c r="I172" s="47">
        <f>F172+G172-H172</f>
        <v>545.62000000000012</v>
      </c>
      <c r="J172" s="26">
        <v>2074</v>
      </c>
      <c r="K172" s="26">
        <v>844.49</v>
      </c>
      <c r="L172" s="22">
        <v>1</v>
      </c>
      <c r="M172" s="23">
        <v>1</v>
      </c>
      <c r="N172" s="23">
        <v>12</v>
      </c>
      <c r="O172" s="27">
        <f>+F172*L172*N172</f>
        <v>890.16000000000008</v>
      </c>
      <c r="P172" s="35">
        <f>G172*L172*N172</f>
        <v>6257.2800000000007</v>
      </c>
      <c r="Q172" s="27">
        <f>J172*L172*N172</f>
        <v>24888</v>
      </c>
      <c r="R172" s="27">
        <f>K172*L172*N172</f>
        <v>10133.880000000001</v>
      </c>
      <c r="S172" s="41">
        <f>IF(I172&lt;650,650*0.09,IF(I172&gt;650,I172*0.09))*12</f>
        <v>702</v>
      </c>
      <c r="T172" s="26">
        <f>400+600+(600*0.09)*L172</f>
        <v>1054</v>
      </c>
      <c r="U172" s="26">
        <f>SUM(O172:T172)</f>
        <v>43925.320000000007</v>
      </c>
      <c r="V172" s="37" t="s">
        <v>132</v>
      </c>
      <c r="X172" t="s">
        <v>282</v>
      </c>
    </row>
    <row r="173" spans="1:24" x14ac:dyDescent="0.25">
      <c r="A173" s="31"/>
      <c r="B173" s="22"/>
      <c r="C173" s="23"/>
      <c r="D173" s="29"/>
      <c r="E173" s="29"/>
      <c r="F173" s="29"/>
      <c r="G173" s="26"/>
      <c r="H173" s="26"/>
      <c r="I173" s="26"/>
      <c r="J173" s="26"/>
      <c r="K173" s="26"/>
      <c r="L173" s="22"/>
      <c r="M173" s="23"/>
      <c r="N173" s="23"/>
      <c r="O173" s="26"/>
      <c r="P173" s="26"/>
      <c r="Q173" s="26"/>
      <c r="R173" s="26"/>
      <c r="S173" s="26"/>
      <c r="T173" s="26"/>
      <c r="U173" s="26"/>
      <c r="V173" s="36"/>
    </row>
    <row r="174" spans="1:24" x14ac:dyDescent="0.25">
      <c r="A174" s="31"/>
      <c r="B174" s="22"/>
      <c r="C174" s="23"/>
      <c r="D174" s="54" t="s">
        <v>133</v>
      </c>
      <c r="E174" s="51"/>
      <c r="F174" s="52"/>
      <c r="G174" s="52"/>
      <c r="H174" s="52"/>
      <c r="I174" s="26"/>
      <c r="J174" s="26"/>
      <c r="K174" s="26"/>
      <c r="L174" s="22"/>
      <c r="M174" s="23"/>
      <c r="N174" s="23"/>
      <c r="O174" s="26"/>
      <c r="P174" s="26"/>
      <c r="Q174" s="26"/>
      <c r="R174" s="26"/>
      <c r="S174" s="26"/>
      <c r="T174" s="26"/>
      <c r="U174" s="26"/>
      <c r="V174" s="36"/>
    </row>
    <row r="175" spans="1:24" x14ac:dyDescent="0.25">
      <c r="A175" s="31" t="s">
        <v>73</v>
      </c>
      <c r="B175" s="22">
        <v>1</v>
      </c>
      <c r="C175" s="23">
        <v>1</v>
      </c>
      <c r="D175" s="32" t="s">
        <v>73</v>
      </c>
      <c r="E175" s="84">
        <v>95</v>
      </c>
      <c r="F175" s="24">
        <v>38.510000000000005</v>
      </c>
      <c r="G175" s="24">
        <f>884.57+H175</f>
        <v>914.57</v>
      </c>
      <c r="H175" s="24">
        <v>30</v>
      </c>
      <c r="I175" s="47">
        <f>F175+G175-H175</f>
        <v>923.08</v>
      </c>
      <c r="J175" s="26">
        <v>3860.25</v>
      </c>
      <c r="K175" s="26"/>
      <c r="L175" s="22">
        <v>1</v>
      </c>
      <c r="M175" s="23">
        <v>1</v>
      </c>
      <c r="N175" s="23">
        <v>12</v>
      </c>
      <c r="O175" s="27">
        <f>+F175*L175*N175</f>
        <v>462.12000000000006</v>
      </c>
      <c r="P175" s="35">
        <f>G175*L175*N175</f>
        <v>10974.84</v>
      </c>
      <c r="Q175" s="27">
        <f>J175*L175*N175</f>
        <v>46323</v>
      </c>
      <c r="R175" s="27">
        <f>K175*L175*N175</f>
        <v>0</v>
      </c>
      <c r="S175" s="41">
        <f>IF(I175&lt;650,650*0.09,IF(I175&gt;650,I175*0.09))*12</f>
        <v>996.92640000000006</v>
      </c>
      <c r="T175" s="26">
        <f>400+600+(600*0.09)*L175</f>
        <v>1054</v>
      </c>
      <c r="U175" s="26">
        <f>SUM(O175:T175)</f>
        <v>59810.886399999996</v>
      </c>
      <c r="V175" s="81" t="s">
        <v>208</v>
      </c>
    </row>
    <row r="176" spans="1:24" x14ac:dyDescent="0.25">
      <c r="A176" s="31" t="s">
        <v>81</v>
      </c>
      <c r="B176" s="22">
        <v>1</v>
      </c>
      <c r="C176" s="23">
        <v>0</v>
      </c>
      <c r="D176" s="32"/>
      <c r="E176" s="84"/>
      <c r="F176" s="24"/>
      <c r="G176" s="24"/>
      <c r="H176" s="24"/>
      <c r="I176" s="47"/>
      <c r="J176" s="26"/>
      <c r="K176" s="26"/>
      <c r="L176" s="22"/>
      <c r="M176" s="23"/>
      <c r="N176" s="23"/>
      <c r="O176" s="27"/>
      <c r="P176" s="35"/>
      <c r="Q176" s="27"/>
      <c r="R176" s="27"/>
      <c r="S176" s="41"/>
      <c r="T176" s="26"/>
      <c r="U176" s="26"/>
      <c r="V176" s="37"/>
      <c r="X176" s="136" t="s">
        <v>232</v>
      </c>
    </row>
    <row r="177" spans="1:24" x14ac:dyDescent="0.25">
      <c r="A177" s="31" t="s">
        <v>81</v>
      </c>
      <c r="B177" s="22">
        <v>1</v>
      </c>
      <c r="C177" s="23">
        <v>1</v>
      </c>
      <c r="D177" s="32" t="s">
        <v>81</v>
      </c>
      <c r="E177" s="84">
        <v>96</v>
      </c>
      <c r="F177" s="24">
        <v>30.26</v>
      </c>
      <c r="G177" s="24">
        <f>560.71+H177</f>
        <v>642.71</v>
      </c>
      <c r="H177" s="24">
        <v>82</v>
      </c>
      <c r="I177" s="47">
        <f>F177+G177-H177</f>
        <v>590.97</v>
      </c>
      <c r="J177" s="26">
        <v>2479</v>
      </c>
      <c r="K177" s="26">
        <v>891.54</v>
      </c>
      <c r="L177" s="22">
        <v>1</v>
      </c>
      <c r="M177" s="23">
        <v>1</v>
      </c>
      <c r="N177" s="23">
        <v>12</v>
      </c>
      <c r="O177" s="27">
        <f>+F177*L177*N177</f>
        <v>363.12</v>
      </c>
      <c r="P177" s="35">
        <f>G177*L177*N177</f>
        <v>7712.52</v>
      </c>
      <c r="Q177" s="27">
        <f>J177*L177*N177</f>
        <v>29748</v>
      </c>
      <c r="R177" s="27">
        <f>K177*L177*N177</f>
        <v>10698.48</v>
      </c>
      <c r="S177" s="41">
        <f>IF(I177&lt;650,650*0.09,IF(I177&gt;650,I177*0.09))*12</f>
        <v>702</v>
      </c>
      <c r="T177" s="26">
        <f>400+600+(600*0.09)*L177</f>
        <v>1054</v>
      </c>
      <c r="U177" s="26">
        <f>SUM(O177:T177)</f>
        <v>50278.119999999995</v>
      </c>
      <c r="V177" s="37" t="s">
        <v>134</v>
      </c>
      <c r="X177" t="s">
        <v>283</v>
      </c>
    </row>
    <row r="178" spans="1:24" x14ac:dyDescent="0.25">
      <c r="A178" s="31"/>
      <c r="B178" s="22"/>
      <c r="C178" s="23"/>
      <c r="D178" s="29"/>
      <c r="E178" s="29"/>
      <c r="F178" s="29"/>
      <c r="G178" s="26"/>
      <c r="H178" s="26"/>
      <c r="I178" s="26"/>
      <c r="J178" s="26"/>
      <c r="K178" s="26"/>
      <c r="L178" s="22"/>
      <c r="M178" s="23"/>
      <c r="N178" s="23"/>
      <c r="O178" s="26"/>
      <c r="P178" s="26"/>
      <c r="Q178" s="26"/>
      <c r="R178" s="26"/>
      <c r="S178" s="26"/>
      <c r="T178" s="26"/>
      <c r="U178" s="26"/>
      <c r="V178" s="36"/>
    </row>
    <row r="179" spans="1:24" x14ac:dyDescent="0.25">
      <c r="A179" s="31"/>
      <c r="B179" s="22"/>
      <c r="C179" s="23"/>
      <c r="D179" s="53" t="s">
        <v>135</v>
      </c>
      <c r="E179" s="29"/>
      <c r="F179" s="29"/>
      <c r="G179" s="43"/>
      <c r="H179" s="43"/>
      <c r="I179" s="26"/>
      <c r="J179" s="26"/>
      <c r="K179" s="26"/>
      <c r="L179" s="22"/>
      <c r="M179" s="23"/>
      <c r="N179" s="13"/>
      <c r="O179" s="43"/>
      <c r="P179" s="43"/>
      <c r="Q179" s="43"/>
      <c r="R179" s="43"/>
      <c r="S179" s="43"/>
      <c r="T179" s="43"/>
      <c r="U179" s="43"/>
      <c r="V179" s="36"/>
    </row>
    <row r="180" spans="1:24" x14ac:dyDescent="0.25">
      <c r="A180" s="31" t="s">
        <v>50</v>
      </c>
      <c r="B180" s="22">
        <v>1</v>
      </c>
      <c r="C180" s="23">
        <v>1</v>
      </c>
      <c r="D180" s="32" t="s">
        <v>50</v>
      </c>
      <c r="E180" s="23">
        <v>97</v>
      </c>
      <c r="F180" s="24">
        <v>44.53</v>
      </c>
      <c r="G180" s="24">
        <f>1034.95+H180</f>
        <v>1064.95</v>
      </c>
      <c r="H180" s="24">
        <v>30</v>
      </c>
      <c r="I180" s="47">
        <f>F180+G180-H180</f>
        <v>1079.48</v>
      </c>
      <c r="J180" s="26">
        <v>5094</v>
      </c>
      <c r="K180" s="26">
        <v>649.76</v>
      </c>
      <c r="L180" s="22">
        <v>1</v>
      </c>
      <c r="M180" s="23">
        <v>1</v>
      </c>
      <c r="N180" s="13">
        <v>12</v>
      </c>
      <c r="O180" s="27">
        <f>+F180*L180*N180</f>
        <v>534.36</v>
      </c>
      <c r="P180" s="35">
        <f>G180*L180*N180</f>
        <v>12779.400000000001</v>
      </c>
      <c r="Q180" s="27">
        <f>J180*L180*N180</f>
        <v>61128</v>
      </c>
      <c r="R180" s="27">
        <f>K180*L180*N180</f>
        <v>7797.12</v>
      </c>
      <c r="S180" s="28">
        <f>IF(I180&lt;650,650*0.09,IF(I180&gt;650,I180*0.09))*12</f>
        <v>1165.8384000000001</v>
      </c>
      <c r="T180" s="26">
        <f>400+600+(600*0.09)*L180</f>
        <v>1054</v>
      </c>
      <c r="U180" s="26">
        <f>SUM(O180:T180)</f>
        <v>84458.718399999998</v>
      </c>
      <c r="V180" s="49" t="s">
        <v>136</v>
      </c>
    </row>
    <row r="181" spans="1:24" x14ac:dyDescent="0.25">
      <c r="A181" s="31" t="s">
        <v>73</v>
      </c>
      <c r="B181" s="22">
        <v>1</v>
      </c>
      <c r="C181" s="23">
        <v>1</v>
      </c>
      <c r="D181" s="32" t="s">
        <v>73</v>
      </c>
      <c r="E181" s="23">
        <v>98</v>
      </c>
      <c r="F181" s="24">
        <v>38.510000000000005</v>
      </c>
      <c r="G181" s="24">
        <f>901.4+H181</f>
        <v>991.4</v>
      </c>
      <c r="H181" s="24">
        <v>90</v>
      </c>
      <c r="I181" s="47">
        <f>F181+G181-H181</f>
        <v>939.91000000000008</v>
      </c>
      <c r="J181" s="26">
        <v>3568</v>
      </c>
      <c r="K181" s="26">
        <v>117.08</v>
      </c>
      <c r="L181" s="22">
        <v>1</v>
      </c>
      <c r="M181" s="23">
        <v>1</v>
      </c>
      <c r="N181" s="13">
        <v>12</v>
      </c>
      <c r="O181" s="27">
        <f>+F181*L181*N181</f>
        <v>462.12000000000006</v>
      </c>
      <c r="P181" s="35">
        <f>G181*L181*N181</f>
        <v>11896.8</v>
      </c>
      <c r="Q181" s="27">
        <f>J181*L181*N181</f>
        <v>42816</v>
      </c>
      <c r="R181" s="27">
        <f>K181*L181*N181</f>
        <v>1404.96</v>
      </c>
      <c r="S181" s="28">
        <f>IF(I181&lt;650,650*0.09,IF(I181&gt;650,I181*0.09))*12</f>
        <v>1015.1028000000001</v>
      </c>
      <c r="T181" s="26">
        <f>400+600+(600*0.09)*L181</f>
        <v>1054</v>
      </c>
      <c r="U181" s="26">
        <f>SUM(O181:T181)</f>
        <v>58648.982799999998</v>
      </c>
      <c r="V181" s="37" t="s">
        <v>108</v>
      </c>
      <c r="X181" t="s">
        <v>284</v>
      </c>
    </row>
    <row r="182" spans="1:24" x14ac:dyDescent="0.25">
      <c r="A182" s="31" t="s">
        <v>81</v>
      </c>
      <c r="B182" s="22">
        <v>1</v>
      </c>
      <c r="C182" s="23">
        <v>1</v>
      </c>
      <c r="D182" s="32" t="s">
        <v>81</v>
      </c>
      <c r="E182" s="23">
        <v>99</v>
      </c>
      <c r="F182" s="24">
        <v>30.26</v>
      </c>
      <c r="G182" s="24">
        <f>614.74+H182</f>
        <v>696.74</v>
      </c>
      <c r="H182" s="24">
        <v>82</v>
      </c>
      <c r="I182" s="47">
        <f>F182+G182-H182</f>
        <v>645</v>
      </c>
      <c r="J182" s="26">
        <v>2479</v>
      </c>
      <c r="K182" s="26">
        <v>891.54</v>
      </c>
      <c r="L182" s="22">
        <v>1</v>
      </c>
      <c r="M182" s="23">
        <v>1</v>
      </c>
      <c r="N182" s="13">
        <v>12</v>
      </c>
      <c r="O182" s="27">
        <f>+F182*L182*N182</f>
        <v>363.12</v>
      </c>
      <c r="P182" s="35">
        <f>G182*L182*N182</f>
        <v>8360.880000000001</v>
      </c>
      <c r="Q182" s="27">
        <f>J182*L182*N182</f>
        <v>29748</v>
      </c>
      <c r="R182" s="27">
        <f>K182*L182*N182</f>
        <v>10698.48</v>
      </c>
      <c r="S182" s="28">
        <f>IF(I182&lt;650,650*0.09,IF(I182&gt;650,I182*0.09))*12</f>
        <v>702</v>
      </c>
      <c r="T182" s="26">
        <f>400+600+(600*0.09)*L182</f>
        <v>1054</v>
      </c>
      <c r="U182" s="26">
        <f>SUM(O182:T182)</f>
        <v>50926.479999999996</v>
      </c>
      <c r="V182" s="37" t="s">
        <v>134</v>
      </c>
      <c r="X182" t="s">
        <v>285</v>
      </c>
    </row>
    <row r="183" spans="1:24" x14ac:dyDescent="0.25">
      <c r="A183" s="31" t="s">
        <v>53</v>
      </c>
      <c r="B183" s="22">
        <v>1</v>
      </c>
      <c r="C183" s="23">
        <v>1</v>
      </c>
      <c r="D183" s="32" t="s">
        <v>53</v>
      </c>
      <c r="E183" s="23">
        <v>100</v>
      </c>
      <c r="F183" s="24">
        <v>24.18</v>
      </c>
      <c r="G183" s="24">
        <f>475.54+H183</f>
        <v>525.54</v>
      </c>
      <c r="H183" s="24">
        <v>50</v>
      </c>
      <c r="I183" s="47">
        <f>F183+G183-H183</f>
        <v>499.71999999999991</v>
      </c>
      <c r="J183" s="26">
        <v>2074</v>
      </c>
      <c r="K183" s="26">
        <v>844.49</v>
      </c>
      <c r="L183" s="22">
        <v>1</v>
      </c>
      <c r="M183" s="23">
        <v>1</v>
      </c>
      <c r="N183" s="13">
        <v>12</v>
      </c>
      <c r="O183" s="27">
        <f>+F183*L183*N183</f>
        <v>290.15999999999997</v>
      </c>
      <c r="P183" s="35">
        <f>G183*L183*N183</f>
        <v>6306.48</v>
      </c>
      <c r="Q183" s="27">
        <f>J183*L183*N183</f>
        <v>24888</v>
      </c>
      <c r="R183" s="27">
        <f>K183*L183*N183</f>
        <v>10133.880000000001</v>
      </c>
      <c r="S183" s="28">
        <f>IF(I183&lt;650,650*0.09,IF(I183&gt;650,I183*0.09))*12</f>
        <v>702</v>
      </c>
      <c r="T183" s="26">
        <f>400+600+(600*0.09)*L183</f>
        <v>1054</v>
      </c>
      <c r="U183" s="26">
        <f>SUM(O183:T183)</f>
        <v>43374.520000000004</v>
      </c>
      <c r="V183" s="37" t="s">
        <v>54</v>
      </c>
      <c r="X183" t="s">
        <v>286</v>
      </c>
    </row>
    <row r="184" spans="1:24" x14ac:dyDescent="0.25">
      <c r="A184" s="31"/>
      <c r="B184" s="22"/>
      <c r="C184" s="23"/>
      <c r="D184" s="29"/>
      <c r="E184" s="29"/>
      <c r="F184" s="29"/>
      <c r="G184" s="43"/>
      <c r="H184" s="43"/>
      <c r="I184" s="26"/>
      <c r="J184" s="26"/>
      <c r="K184" s="26"/>
      <c r="L184" s="22"/>
      <c r="M184" s="23"/>
      <c r="N184" s="13"/>
      <c r="O184" s="43"/>
      <c r="P184" s="43"/>
      <c r="Q184" s="43"/>
      <c r="R184" s="43"/>
      <c r="S184" s="43"/>
      <c r="T184" s="43"/>
      <c r="U184" s="43"/>
      <c r="V184" s="36"/>
    </row>
    <row r="185" spans="1:24" x14ac:dyDescent="0.25">
      <c r="A185" s="31"/>
      <c r="B185" s="22"/>
      <c r="C185" s="23"/>
      <c r="D185" s="51" t="s">
        <v>137</v>
      </c>
      <c r="E185" s="20"/>
      <c r="F185" s="20"/>
      <c r="G185" s="43"/>
      <c r="H185" s="43"/>
      <c r="I185" s="26"/>
      <c r="J185" s="26"/>
      <c r="K185" s="26"/>
      <c r="L185" s="22"/>
      <c r="M185" s="23"/>
      <c r="N185" s="13"/>
      <c r="O185" s="43"/>
      <c r="P185" s="43"/>
      <c r="Q185" s="43"/>
      <c r="R185" s="43"/>
      <c r="S185" s="43"/>
      <c r="T185" s="43"/>
      <c r="U185" s="43"/>
      <c r="V185" s="36"/>
    </row>
    <row r="186" spans="1:24" x14ac:dyDescent="0.25">
      <c r="A186" s="31" t="s">
        <v>73</v>
      </c>
      <c r="B186" s="22">
        <v>1</v>
      </c>
      <c r="C186" s="23">
        <v>1</v>
      </c>
      <c r="D186" s="32" t="s">
        <v>73</v>
      </c>
      <c r="E186" s="23">
        <v>101</v>
      </c>
      <c r="F186" s="24">
        <v>38.510000000000005</v>
      </c>
      <c r="G186" s="24">
        <f>884.57+H186</f>
        <v>914.57</v>
      </c>
      <c r="H186" s="24">
        <v>30</v>
      </c>
      <c r="I186" s="47">
        <f>F186+G186-H186</f>
        <v>923.08</v>
      </c>
      <c r="J186" s="26">
        <v>3860.25</v>
      </c>
      <c r="K186" s="26"/>
      <c r="L186" s="22">
        <v>1</v>
      </c>
      <c r="M186" s="23">
        <v>1</v>
      </c>
      <c r="N186" s="13">
        <v>12</v>
      </c>
      <c r="O186" s="27">
        <f>+F186*L186*N186</f>
        <v>462.12000000000006</v>
      </c>
      <c r="P186" s="35">
        <f>G186*L186*N186</f>
        <v>10974.84</v>
      </c>
      <c r="Q186" s="27">
        <f>J186*L186*N186</f>
        <v>46323</v>
      </c>
      <c r="R186" s="27">
        <f>K186*L186*N186</f>
        <v>0</v>
      </c>
      <c r="S186" s="28">
        <f>IF(I186&lt;650,650*0.09,IF(I186&gt;650,I186*0.09))*12</f>
        <v>996.92640000000006</v>
      </c>
      <c r="T186" s="26">
        <f>400+600+(600*0.09)*L186</f>
        <v>1054</v>
      </c>
      <c r="U186" s="26">
        <f>SUM(O186:T186)</f>
        <v>59810.886399999996</v>
      </c>
      <c r="V186" s="37" t="s">
        <v>209</v>
      </c>
    </row>
    <row r="187" spans="1:24" x14ac:dyDescent="0.25">
      <c r="A187" s="31" t="s">
        <v>98</v>
      </c>
      <c r="B187" s="22">
        <v>1</v>
      </c>
      <c r="C187" s="23">
        <v>1</v>
      </c>
      <c r="D187" s="32" t="s">
        <v>98</v>
      </c>
      <c r="E187" s="23">
        <v>102</v>
      </c>
      <c r="F187" s="24">
        <v>36.53</v>
      </c>
      <c r="G187" s="24">
        <f>691.17+H187</f>
        <v>781.17</v>
      </c>
      <c r="H187" s="24">
        <v>90</v>
      </c>
      <c r="I187" s="47">
        <f>F187+G187-H187</f>
        <v>727.69999999999993</v>
      </c>
      <c r="J187" s="26">
        <v>3107</v>
      </c>
      <c r="K187" s="26">
        <v>445.3</v>
      </c>
      <c r="L187" s="22">
        <v>1</v>
      </c>
      <c r="M187" s="23">
        <v>1</v>
      </c>
      <c r="N187" s="13">
        <v>12</v>
      </c>
      <c r="O187" s="27">
        <f>+F187*L187*N187</f>
        <v>438.36</v>
      </c>
      <c r="P187" s="35">
        <f>G187*L187*N187</f>
        <v>9374.0399999999991</v>
      </c>
      <c r="Q187" s="27">
        <f>J187*L187*N187</f>
        <v>37284</v>
      </c>
      <c r="R187" s="27">
        <f>K187*L187*N187</f>
        <v>5343.6</v>
      </c>
      <c r="S187" s="28">
        <f>IF(I187&lt;650,650*0.09,IF(I187&gt;650,I187*0.09))*12</f>
        <v>785.91599999999994</v>
      </c>
      <c r="T187" s="26">
        <f>400+600+(600*0.09)*L187</f>
        <v>1054</v>
      </c>
      <c r="U187" s="26">
        <f>SUM(O187:T187)</f>
        <v>54279.915999999997</v>
      </c>
      <c r="V187" s="37" t="s">
        <v>138</v>
      </c>
      <c r="X187" t="s">
        <v>287</v>
      </c>
    </row>
    <row r="188" spans="1:24" x14ac:dyDescent="0.25">
      <c r="A188" s="31" t="s">
        <v>81</v>
      </c>
      <c r="B188" s="22">
        <v>1</v>
      </c>
      <c r="C188" s="23">
        <v>1</v>
      </c>
      <c r="D188" s="32" t="s">
        <v>81</v>
      </c>
      <c r="E188" s="23">
        <v>103</v>
      </c>
      <c r="F188" s="24">
        <v>30.26</v>
      </c>
      <c r="G188" s="24">
        <f>651.06+H188</f>
        <v>733.06</v>
      </c>
      <c r="H188" s="24">
        <v>82</v>
      </c>
      <c r="I188" s="47">
        <f>F188+G188-H188</f>
        <v>681.31999999999994</v>
      </c>
      <c r="J188" s="26">
        <v>2479</v>
      </c>
      <c r="K188" s="26">
        <v>891.54</v>
      </c>
      <c r="L188" s="22">
        <v>1</v>
      </c>
      <c r="M188" s="23">
        <v>1</v>
      </c>
      <c r="N188" s="13">
        <v>12</v>
      </c>
      <c r="O188" s="27">
        <f>+F188*L188*N188</f>
        <v>363.12</v>
      </c>
      <c r="P188" s="35">
        <f>G188*L188*N188</f>
        <v>8796.7199999999993</v>
      </c>
      <c r="Q188" s="27">
        <f>J188*L188*N188</f>
        <v>29748</v>
      </c>
      <c r="R188" s="27">
        <f>K188*L188*N188</f>
        <v>10698.48</v>
      </c>
      <c r="S188" s="28">
        <f>IF(I188&lt;650,650*0.09,IF(I188&gt;650,I188*0.09))*12</f>
        <v>735.82559999999989</v>
      </c>
      <c r="T188" s="26">
        <f>400+600+(600*0.09)*L188</f>
        <v>1054</v>
      </c>
      <c r="U188" s="26">
        <f>SUM(O188:T188)</f>
        <v>51396.145599999989</v>
      </c>
      <c r="V188" s="37" t="s">
        <v>134</v>
      </c>
      <c r="X188" t="s">
        <v>288</v>
      </c>
    </row>
    <row r="189" spans="1:24" x14ac:dyDescent="0.25">
      <c r="A189" s="31" t="s">
        <v>55</v>
      </c>
      <c r="B189" s="22">
        <v>1</v>
      </c>
      <c r="C189" s="23">
        <v>1</v>
      </c>
      <c r="D189" s="32" t="s">
        <v>55</v>
      </c>
      <c r="E189" s="23">
        <v>104</v>
      </c>
      <c r="F189" s="24">
        <v>23.99</v>
      </c>
      <c r="G189" s="24">
        <f>468.84+H189</f>
        <v>513.83999999999992</v>
      </c>
      <c r="H189" s="24">
        <v>45</v>
      </c>
      <c r="I189" s="47">
        <f>F189+G189-H189</f>
        <v>492.82999999999993</v>
      </c>
      <c r="J189" s="26">
        <v>2074</v>
      </c>
      <c r="K189" s="26">
        <v>844.49</v>
      </c>
      <c r="L189" s="22">
        <v>1</v>
      </c>
      <c r="M189" s="23">
        <v>1</v>
      </c>
      <c r="N189" s="13">
        <v>12</v>
      </c>
      <c r="O189" s="27">
        <f>+F189*L189*N189</f>
        <v>287.88</v>
      </c>
      <c r="P189" s="35">
        <f>G189*L189*N189</f>
        <v>6166.079999999999</v>
      </c>
      <c r="Q189" s="27">
        <f>J189*L189*N189</f>
        <v>24888</v>
      </c>
      <c r="R189" s="27">
        <f>K189*L189*N189</f>
        <v>10133.880000000001</v>
      </c>
      <c r="S189" s="28">
        <f>IF(I189&lt;650,650*0.09,IF(I189&gt;650,I189*0.09))*12</f>
        <v>702</v>
      </c>
      <c r="T189" s="26">
        <f>400+600+(600*0.09)*L189</f>
        <v>1054</v>
      </c>
      <c r="U189" s="26">
        <f>SUM(O189:T189)</f>
        <v>43231.839999999997</v>
      </c>
      <c r="V189" s="37" t="s">
        <v>139</v>
      </c>
      <c r="X189" t="s">
        <v>289</v>
      </c>
    </row>
    <row r="190" spans="1:24" x14ac:dyDescent="0.25">
      <c r="A190" s="31"/>
      <c r="B190" s="22"/>
      <c r="C190" s="23"/>
      <c r="D190" s="29"/>
      <c r="E190" s="29"/>
      <c r="F190" s="29"/>
      <c r="G190" s="43"/>
      <c r="H190" s="43"/>
      <c r="I190" s="26"/>
      <c r="J190" s="26"/>
      <c r="K190" s="26"/>
      <c r="L190" s="22"/>
      <c r="M190" s="23"/>
      <c r="N190" s="13"/>
      <c r="O190" s="43"/>
      <c r="P190" s="43"/>
      <c r="Q190" s="43"/>
      <c r="R190" s="43"/>
      <c r="S190" s="43"/>
      <c r="T190" s="43"/>
      <c r="U190" s="43"/>
      <c r="V190" s="36"/>
    </row>
    <row r="191" spans="1:24" x14ac:dyDescent="0.25">
      <c r="A191" s="31"/>
      <c r="B191" s="22"/>
      <c r="C191" s="23"/>
      <c r="D191" s="51" t="s">
        <v>140</v>
      </c>
      <c r="E191" s="29"/>
      <c r="F191" s="29"/>
      <c r="G191" s="43"/>
      <c r="H191" s="43"/>
      <c r="I191" s="26"/>
      <c r="J191" s="26"/>
      <c r="K191" s="26"/>
      <c r="L191" s="22"/>
      <c r="M191" s="23"/>
      <c r="N191" s="13"/>
      <c r="O191" s="43"/>
      <c r="P191" s="43"/>
      <c r="Q191" s="43"/>
      <c r="R191" s="43"/>
      <c r="S191" s="43"/>
      <c r="T191" s="43"/>
      <c r="U191" s="43"/>
      <c r="V191" s="36"/>
    </row>
    <row r="192" spans="1:24" x14ac:dyDescent="0.25">
      <c r="A192" s="31" t="s">
        <v>73</v>
      </c>
      <c r="B192" s="22">
        <v>1</v>
      </c>
      <c r="C192" s="23">
        <v>1</v>
      </c>
      <c r="D192" s="32" t="s">
        <v>73</v>
      </c>
      <c r="E192" s="23">
        <v>105</v>
      </c>
      <c r="F192" s="24">
        <v>38.510000000000005</v>
      </c>
      <c r="G192" s="24">
        <f>884.57+H192</f>
        <v>914.57</v>
      </c>
      <c r="H192" s="24">
        <v>30</v>
      </c>
      <c r="I192" s="47">
        <f t="shared" ref="I192:I199" si="40">F192+G192-H192</f>
        <v>923.08</v>
      </c>
      <c r="J192" s="26">
        <v>3860.25</v>
      </c>
      <c r="K192" s="26"/>
      <c r="L192" s="22">
        <v>1</v>
      </c>
      <c r="M192" s="23">
        <v>1</v>
      </c>
      <c r="N192" s="13">
        <v>12</v>
      </c>
      <c r="O192" s="27">
        <f t="shared" ref="O192:O199" si="41">+F192*L192*N192</f>
        <v>462.12000000000006</v>
      </c>
      <c r="P192" s="35">
        <f t="shared" ref="P192:P199" si="42">G192*L192*N192</f>
        <v>10974.84</v>
      </c>
      <c r="Q192" s="27">
        <f t="shared" ref="Q192:Q199" si="43">J192*L192*N192</f>
        <v>46323</v>
      </c>
      <c r="R192" s="27">
        <f t="shared" ref="R192:R199" si="44">K192*L192*N192</f>
        <v>0</v>
      </c>
      <c r="S192" s="28">
        <f t="shared" ref="S192:S199" si="45">IF(I192&lt;650,650*0.09,IF(I192&gt;650,I192*0.09))*12</f>
        <v>996.92640000000006</v>
      </c>
      <c r="T192" s="26">
        <f t="shared" ref="T192:T199" si="46">400+600+(600*0.09)*L192</f>
        <v>1054</v>
      </c>
      <c r="U192" s="26">
        <f t="shared" ref="U192:U199" si="47">SUM(O192:T192)</f>
        <v>59810.886399999996</v>
      </c>
      <c r="V192" s="37" t="s">
        <v>210</v>
      </c>
    </row>
    <row r="193" spans="1:24" x14ac:dyDescent="0.25">
      <c r="A193" s="31" t="s">
        <v>98</v>
      </c>
      <c r="B193" s="22">
        <v>1</v>
      </c>
      <c r="C193" s="23">
        <v>1</v>
      </c>
      <c r="D193" s="32" t="s">
        <v>98</v>
      </c>
      <c r="E193" s="23">
        <v>106</v>
      </c>
      <c r="F193" s="24">
        <v>36.53</v>
      </c>
      <c r="G193" s="24">
        <f>683.93+H193</f>
        <v>773.93</v>
      </c>
      <c r="H193" s="24">
        <v>90</v>
      </c>
      <c r="I193" s="47">
        <f t="shared" si="40"/>
        <v>720.45999999999992</v>
      </c>
      <c r="J193" s="26">
        <v>3107</v>
      </c>
      <c r="K193" s="26">
        <v>445.3</v>
      </c>
      <c r="L193" s="22">
        <v>1</v>
      </c>
      <c r="M193" s="23">
        <v>1</v>
      </c>
      <c r="N193" s="13">
        <v>12</v>
      </c>
      <c r="O193" s="27">
        <f t="shared" si="41"/>
        <v>438.36</v>
      </c>
      <c r="P193" s="35">
        <f t="shared" si="42"/>
        <v>9287.16</v>
      </c>
      <c r="Q193" s="27">
        <f t="shared" si="43"/>
        <v>37284</v>
      </c>
      <c r="R193" s="27">
        <f t="shared" si="44"/>
        <v>5343.6</v>
      </c>
      <c r="S193" s="28">
        <f t="shared" si="45"/>
        <v>778.09679999999992</v>
      </c>
      <c r="T193" s="26">
        <f t="shared" si="46"/>
        <v>1054</v>
      </c>
      <c r="U193" s="26">
        <f t="shared" si="47"/>
        <v>54185.216800000002</v>
      </c>
      <c r="V193" s="37" t="s">
        <v>141</v>
      </c>
      <c r="X193" t="s">
        <v>290</v>
      </c>
    </row>
    <row r="194" spans="1:24" x14ac:dyDescent="0.25">
      <c r="A194" s="31" t="s">
        <v>81</v>
      </c>
      <c r="B194" s="22">
        <v>1</v>
      </c>
      <c r="C194" s="23">
        <v>1</v>
      </c>
      <c r="D194" s="32" t="s">
        <v>81</v>
      </c>
      <c r="E194" s="23">
        <v>107</v>
      </c>
      <c r="F194" s="24">
        <v>30.26</v>
      </c>
      <c r="G194" s="24">
        <f>560.71+H194</f>
        <v>642.71</v>
      </c>
      <c r="H194" s="24">
        <v>82</v>
      </c>
      <c r="I194" s="47">
        <f t="shared" si="40"/>
        <v>590.97</v>
      </c>
      <c r="J194" s="26">
        <v>2479</v>
      </c>
      <c r="K194" s="26">
        <v>891.54</v>
      </c>
      <c r="L194" s="22">
        <v>1</v>
      </c>
      <c r="M194" s="23">
        <v>1</v>
      </c>
      <c r="N194" s="13">
        <v>12</v>
      </c>
      <c r="O194" s="27">
        <f t="shared" si="41"/>
        <v>363.12</v>
      </c>
      <c r="P194" s="35">
        <f t="shared" si="42"/>
        <v>7712.52</v>
      </c>
      <c r="Q194" s="27">
        <f t="shared" si="43"/>
        <v>29748</v>
      </c>
      <c r="R194" s="27">
        <f t="shared" si="44"/>
        <v>10698.48</v>
      </c>
      <c r="S194" s="28">
        <f t="shared" si="45"/>
        <v>702</v>
      </c>
      <c r="T194" s="26">
        <f t="shared" si="46"/>
        <v>1054</v>
      </c>
      <c r="U194" s="26">
        <f t="shared" si="47"/>
        <v>50278.119999999995</v>
      </c>
      <c r="V194" s="37" t="s">
        <v>142</v>
      </c>
      <c r="X194" t="s">
        <v>291</v>
      </c>
    </row>
    <row r="195" spans="1:24" x14ac:dyDescent="0.25">
      <c r="A195" s="31" t="s">
        <v>81</v>
      </c>
      <c r="B195" s="22">
        <v>1</v>
      </c>
      <c r="C195" s="23">
        <v>1</v>
      </c>
      <c r="D195" s="32" t="s">
        <v>81</v>
      </c>
      <c r="E195" s="23">
        <v>108</v>
      </c>
      <c r="F195" s="24">
        <v>30.25</v>
      </c>
      <c r="G195" s="24">
        <f>732.19+H195</f>
        <v>814.19</v>
      </c>
      <c r="H195" s="24">
        <v>82</v>
      </c>
      <c r="I195" s="47">
        <f t="shared" si="40"/>
        <v>762.44</v>
      </c>
      <c r="J195" s="26">
        <v>2479</v>
      </c>
      <c r="K195" s="26">
        <v>891.54</v>
      </c>
      <c r="L195" s="22">
        <v>1</v>
      </c>
      <c r="M195" s="23">
        <v>1</v>
      </c>
      <c r="N195" s="13">
        <v>12</v>
      </c>
      <c r="O195" s="27">
        <f t="shared" si="41"/>
        <v>363</v>
      </c>
      <c r="P195" s="35">
        <f t="shared" si="42"/>
        <v>9770.2800000000007</v>
      </c>
      <c r="Q195" s="27">
        <f t="shared" si="43"/>
        <v>29748</v>
      </c>
      <c r="R195" s="27">
        <f t="shared" si="44"/>
        <v>10698.48</v>
      </c>
      <c r="S195" s="28">
        <f t="shared" si="45"/>
        <v>823.43520000000012</v>
      </c>
      <c r="T195" s="26">
        <f t="shared" si="46"/>
        <v>1054</v>
      </c>
      <c r="U195" s="26">
        <f t="shared" si="47"/>
        <v>52457.195199999995</v>
      </c>
      <c r="V195" s="37" t="s">
        <v>134</v>
      </c>
      <c r="X195" t="s">
        <v>292</v>
      </c>
    </row>
    <row r="196" spans="1:24" x14ac:dyDescent="0.25">
      <c r="A196" s="31" t="s">
        <v>81</v>
      </c>
      <c r="B196" s="22">
        <v>1</v>
      </c>
      <c r="C196" s="23">
        <v>1</v>
      </c>
      <c r="D196" s="32" t="s">
        <v>81</v>
      </c>
      <c r="E196" s="23">
        <v>109</v>
      </c>
      <c r="F196" s="24">
        <v>30.26</v>
      </c>
      <c r="G196" s="24">
        <f>750.35+H196</f>
        <v>832.35</v>
      </c>
      <c r="H196" s="24">
        <v>82</v>
      </c>
      <c r="I196" s="47">
        <f t="shared" si="40"/>
        <v>780.61</v>
      </c>
      <c r="J196" s="26">
        <v>2479</v>
      </c>
      <c r="K196" s="26">
        <v>891.54</v>
      </c>
      <c r="L196" s="22">
        <v>1</v>
      </c>
      <c r="M196" s="23">
        <v>1</v>
      </c>
      <c r="N196" s="13">
        <v>12</v>
      </c>
      <c r="O196" s="27">
        <f t="shared" si="41"/>
        <v>363.12</v>
      </c>
      <c r="P196" s="35">
        <f t="shared" si="42"/>
        <v>9988.2000000000007</v>
      </c>
      <c r="Q196" s="27">
        <f t="shared" si="43"/>
        <v>29748</v>
      </c>
      <c r="R196" s="27">
        <f t="shared" si="44"/>
        <v>10698.48</v>
      </c>
      <c r="S196" s="28">
        <f t="shared" si="45"/>
        <v>843.05879999999991</v>
      </c>
      <c r="T196" s="26">
        <f t="shared" si="46"/>
        <v>1054</v>
      </c>
      <c r="U196" s="26">
        <f t="shared" si="47"/>
        <v>52694.858800000002</v>
      </c>
      <c r="V196" s="37" t="s">
        <v>134</v>
      </c>
      <c r="X196" t="s">
        <v>293</v>
      </c>
    </row>
    <row r="197" spans="1:24" x14ac:dyDescent="0.25">
      <c r="A197" s="31" t="s">
        <v>65</v>
      </c>
      <c r="B197" s="22">
        <v>1</v>
      </c>
      <c r="C197" s="23">
        <v>1</v>
      </c>
      <c r="D197" s="32" t="s">
        <v>65</v>
      </c>
      <c r="E197" s="23">
        <v>110</v>
      </c>
      <c r="F197" s="24">
        <v>30.1</v>
      </c>
      <c r="G197" s="24">
        <f>542.46+H197</f>
        <v>617.46</v>
      </c>
      <c r="H197" s="24">
        <v>75</v>
      </c>
      <c r="I197" s="47">
        <f t="shared" si="40"/>
        <v>572.56000000000006</v>
      </c>
      <c r="J197" s="26">
        <v>2479</v>
      </c>
      <c r="K197" s="26">
        <v>891.54</v>
      </c>
      <c r="L197" s="22">
        <v>1</v>
      </c>
      <c r="M197" s="23">
        <v>1</v>
      </c>
      <c r="N197" s="13">
        <v>12</v>
      </c>
      <c r="O197" s="27">
        <f t="shared" si="41"/>
        <v>361.20000000000005</v>
      </c>
      <c r="P197" s="35">
        <f t="shared" si="42"/>
        <v>7409.52</v>
      </c>
      <c r="Q197" s="27">
        <f t="shared" si="43"/>
        <v>29748</v>
      </c>
      <c r="R197" s="27">
        <f t="shared" si="44"/>
        <v>10698.48</v>
      </c>
      <c r="S197" s="28">
        <f t="shared" si="45"/>
        <v>702</v>
      </c>
      <c r="T197" s="26">
        <f t="shared" si="46"/>
        <v>1054</v>
      </c>
      <c r="U197" s="26">
        <f t="shared" si="47"/>
        <v>49973.2</v>
      </c>
      <c r="V197" s="37" t="s">
        <v>66</v>
      </c>
      <c r="X197" t="s">
        <v>294</v>
      </c>
    </row>
    <row r="198" spans="1:24" x14ac:dyDescent="0.25">
      <c r="A198" s="31" t="s">
        <v>53</v>
      </c>
      <c r="B198" s="22">
        <v>1</v>
      </c>
      <c r="C198" s="23">
        <v>1</v>
      </c>
      <c r="D198" s="32" t="s">
        <v>53</v>
      </c>
      <c r="E198" s="23">
        <v>111</v>
      </c>
      <c r="F198" s="24">
        <v>24.18</v>
      </c>
      <c r="G198" s="24">
        <f>475.56+H198</f>
        <v>525.55999999999995</v>
      </c>
      <c r="H198" s="24">
        <v>50</v>
      </c>
      <c r="I198" s="47">
        <f t="shared" si="40"/>
        <v>499.7399999999999</v>
      </c>
      <c r="J198" s="26">
        <v>2074</v>
      </c>
      <c r="K198" s="26">
        <v>844.49</v>
      </c>
      <c r="L198" s="22">
        <v>1</v>
      </c>
      <c r="M198" s="23">
        <v>1</v>
      </c>
      <c r="N198" s="13">
        <v>12</v>
      </c>
      <c r="O198" s="27">
        <f t="shared" si="41"/>
        <v>290.15999999999997</v>
      </c>
      <c r="P198" s="35">
        <f t="shared" si="42"/>
        <v>6306.7199999999993</v>
      </c>
      <c r="Q198" s="27">
        <f t="shared" si="43"/>
        <v>24888</v>
      </c>
      <c r="R198" s="27">
        <f t="shared" si="44"/>
        <v>10133.880000000001</v>
      </c>
      <c r="S198" s="28">
        <f t="shared" si="45"/>
        <v>702</v>
      </c>
      <c r="T198" s="26">
        <f t="shared" si="46"/>
        <v>1054</v>
      </c>
      <c r="U198" s="26">
        <f t="shared" si="47"/>
        <v>43374.759999999995</v>
      </c>
      <c r="V198" s="37" t="s">
        <v>75</v>
      </c>
      <c r="X198" t="s">
        <v>295</v>
      </c>
    </row>
    <row r="199" spans="1:24" x14ac:dyDescent="0.25">
      <c r="A199" s="31" t="s">
        <v>55</v>
      </c>
      <c r="B199" s="22">
        <v>1</v>
      </c>
      <c r="C199" s="23">
        <v>1</v>
      </c>
      <c r="D199" s="32" t="s">
        <v>55</v>
      </c>
      <c r="E199" s="23">
        <v>112</v>
      </c>
      <c r="F199" s="24">
        <v>23.99</v>
      </c>
      <c r="G199" s="24">
        <f>473.98+H199</f>
        <v>518.98</v>
      </c>
      <c r="H199" s="24">
        <v>45</v>
      </c>
      <c r="I199" s="47">
        <f t="shared" si="40"/>
        <v>497.97</v>
      </c>
      <c r="J199" s="26">
        <v>2074</v>
      </c>
      <c r="K199" s="26">
        <v>844.49</v>
      </c>
      <c r="L199" s="22">
        <v>1</v>
      </c>
      <c r="M199" s="23">
        <v>1</v>
      </c>
      <c r="N199" s="13">
        <v>12</v>
      </c>
      <c r="O199" s="27">
        <f t="shared" si="41"/>
        <v>287.88</v>
      </c>
      <c r="P199" s="35">
        <f t="shared" si="42"/>
        <v>6227.76</v>
      </c>
      <c r="Q199" s="27">
        <f t="shared" si="43"/>
        <v>24888</v>
      </c>
      <c r="R199" s="27">
        <f t="shared" si="44"/>
        <v>10133.880000000001</v>
      </c>
      <c r="S199" s="28">
        <f t="shared" si="45"/>
        <v>702</v>
      </c>
      <c r="T199" s="26">
        <f t="shared" si="46"/>
        <v>1054</v>
      </c>
      <c r="U199" s="26">
        <f t="shared" si="47"/>
        <v>43293.520000000004</v>
      </c>
      <c r="V199" s="37" t="s">
        <v>143</v>
      </c>
      <c r="X199" t="s">
        <v>296</v>
      </c>
    </row>
    <row r="200" spans="1:24" x14ac:dyDescent="0.25">
      <c r="A200" s="31"/>
      <c r="B200" s="22"/>
      <c r="C200" s="23"/>
      <c r="D200" s="29"/>
      <c r="E200" s="29"/>
      <c r="F200" s="29"/>
      <c r="G200" s="43"/>
      <c r="H200" s="43"/>
      <c r="I200" s="26"/>
      <c r="J200" s="26"/>
      <c r="K200" s="26"/>
      <c r="L200" s="22"/>
      <c r="M200" s="23"/>
      <c r="N200" s="13"/>
      <c r="O200" s="43"/>
      <c r="P200" s="43"/>
      <c r="Q200" s="43"/>
      <c r="R200" s="43"/>
      <c r="S200" s="43"/>
      <c r="T200" s="43"/>
      <c r="U200" s="43"/>
      <c r="V200" s="36"/>
    </row>
    <row r="201" spans="1:24" x14ac:dyDescent="0.25">
      <c r="A201" s="31"/>
      <c r="B201" s="22"/>
      <c r="C201" s="23"/>
      <c r="D201" s="51" t="s">
        <v>144</v>
      </c>
      <c r="E201" s="29"/>
      <c r="F201" s="29"/>
      <c r="G201" s="43"/>
      <c r="H201" s="43"/>
      <c r="I201" s="26"/>
      <c r="J201" s="26"/>
      <c r="K201" s="26"/>
      <c r="L201" s="22"/>
      <c r="M201" s="23"/>
      <c r="N201" s="13"/>
      <c r="O201" s="43"/>
      <c r="P201" s="43"/>
      <c r="Q201" s="43"/>
      <c r="R201" s="43"/>
      <c r="S201" s="43"/>
      <c r="T201" s="43"/>
      <c r="U201" s="43"/>
      <c r="V201" s="36"/>
    </row>
    <row r="202" spans="1:24" x14ac:dyDescent="0.25">
      <c r="A202" s="31" t="s">
        <v>73</v>
      </c>
      <c r="B202" s="22">
        <v>1</v>
      </c>
      <c r="C202" s="23">
        <v>1</v>
      </c>
      <c r="D202" s="32" t="s">
        <v>73</v>
      </c>
      <c r="E202" s="23">
        <v>113</v>
      </c>
      <c r="F202" s="24">
        <v>38.510000000000005</v>
      </c>
      <c r="G202" s="24">
        <f>884.57+H202</f>
        <v>914.57</v>
      </c>
      <c r="H202" s="24">
        <v>30</v>
      </c>
      <c r="I202" s="47">
        <f>F202+G202-H202</f>
        <v>923.08</v>
      </c>
      <c r="J202" s="26">
        <v>3860.25</v>
      </c>
      <c r="K202" s="26"/>
      <c r="L202" s="22">
        <v>1</v>
      </c>
      <c r="M202" s="23">
        <v>1</v>
      </c>
      <c r="N202" s="13">
        <v>12</v>
      </c>
      <c r="O202" s="27">
        <f>+F202*L202*N202</f>
        <v>462.12000000000006</v>
      </c>
      <c r="P202" s="35">
        <f>G202*L202*N202</f>
        <v>10974.84</v>
      </c>
      <c r="Q202" s="27">
        <f>J202*L202*N202</f>
        <v>46323</v>
      </c>
      <c r="R202" s="27">
        <f>K202*L202*N202</f>
        <v>0</v>
      </c>
      <c r="S202" s="28">
        <f>IF(I202&lt;650,650*0.09,IF(I202&gt;650,I202*0.09))*12</f>
        <v>996.92640000000006</v>
      </c>
      <c r="T202" s="26">
        <f>400+600+(600*0.09)*L202</f>
        <v>1054</v>
      </c>
      <c r="U202" s="26">
        <f>SUM(O202:T202)</f>
        <v>59810.886399999996</v>
      </c>
      <c r="V202" s="37" t="s">
        <v>211</v>
      </c>
    </row>
    <row r="203" spans="1:24" x14ac:dyDescent="0.25">
      <c r="A203" s="31" t="s">
        <v>73</v>
      </c>
      <c r="B203" s="22">
        <v>1</v>
      </c>
      <c r="C203" s="23">
        <v>1</v>
      </c>
      <c r="D203" s="32" t="s">
        <v>73</v>
      </c>
      <c r="E203" s="23">
        <v>114</v>
      </c>
      <c r="F203" s="24">
        <v>38.510000000000005</v>
      </c>
      <c r="G203" s="24">
        <f>928.59+H203</f>
        <v>1018.59</v>
      </c>
      <c r="H203" s="24">
        <v>90</v>
      </c>
      <c r="I203" s="47">
        <f>F203+G203-H203</f>
        <v>967.10000000000014</v>
      </c>
      <c r="J203" s="26">
        <v>3568</v>
      </c>
      <c r="K203" s="26">
        <v>117.08</v>
      </c>
      <c r="L203" s="22">
        <v>1</v>
      </c>
      <c r="M203" s="23">
        <v>1</v>
      </c>
      <c r="N203" s="13">
        <v>12</v>
      </c>
      <c r="O203" s="27">
        <f>+F203*L203*N203</f>
        <v>462.12000000000006</v>
      </c>
      <c r="P203" s="35">
        <f>G203*L203*N203</f>
        <v>12223.08</v>
      </c>
      <c r="Q203" s="27">
        <f>J203*L203*N203</f>
        <v>42816</v>
      </c>
      <c r="R203" s="27">
        <f>K203*L203*N203</f>
        <v>1404.96</v>
      </c>
      <c r="S203" s="28">
        <f>IF(I203&lt;650,650*0.09,IF(I203&gt;650,I203*0.09))*12</f>
        <v>1044.4680000000003</v>
      </c>
      <c r="T203" s="26">
        <f>400+600+(600*0.09)*L203</f>
        <v>1054</v>
      </c>
      <c r="U203" s="26">
        <f>SUM(O203:T203)</f>
        <v>59004.627999999997</v>
      </c>
      <c r="V203" s="37" t="s">
        <v>108</v>
      </c>
      <c r="X203" t="s">
        <v>281</v>
      </c>
    </row>
    <row r="204" spans="1:24" x14ac:dyDescent="0.25">
      <c r="A204" s="31" t="s">
        <v>98</v>
      </c>
      <c r="B204" s="22">
        <v>1</v>
      </c>
      <c r="C204" s="23">
        <v>1</v>
      </c>
      <c r="D204" s="32" t="s">
        <v>98</v>
      </c>
      <c r="E204" s="23">
        <v>115</v>
      </c>
      <c r="F204" s="24">
        <v>36.53</v>
      </c>
      <c r="G204" s="24">
        <f>702.42+H204</f>
        <v>792.42</v>
      </c>
      <c r="H204" s="24">
        <v>90</v>
      </c>
      <c r="I204" s="47">
        <f>F204+G204-H204</f>
        <v>738.94999999999993</v>
      </c>
      <c r="J204" s="26">
        <v>3107</v>
      </c>
      <c r="K204" s="26">
        <v>445.3</v>
      </c>
      <c r="L204" s="22">
        <v>1</v>
      </c>
      <c r="M204" s="23">
        <v>1</v>
      </c>
      <c r="N204" s="13">
        <v>12</v>
      </c>
      <c r="O204" s="27">
        <f>+F204*L204*N204</f>
        <v>438.36</v>
      </c>
      <c r="P204" s="35">
        <f>G204*L204*N204</f>
        <v>9509.0399999999991</v>
      </c>
      <c r="Q204" s="27">
        <f>J204*L204*N204</f>
        <v>37284</v>
      </c>
      <c r="R204" s="27">
        <f>K204*L204*N204</f>
        <v>5343.6</v>
      </c>
      <c r="S204" s="28">
        <f>IF(I204&lt;650,650*0.09,IF(I204&gt;650,I204*0.09))*12</f>
        <v>798.06600000000003</v>
      </c>
      <c r="T204" s="26">
        <f>400+600+(600*0.09)*L204</f>
        <v>1054</v>
      </c>
      <c r="U204" s="26">
        <f>SUM(O204:T204)</f>
        <v>54427.065999999999</v>
      </c>
      <c r="V204" s="37" t="s">
        <v>138</v>
      </c>
      <c r="X204" t="s">
        <v>297</v>
      </c>
    </row>
    <row r="205" spans="1:24" x14ac:dyDescent="0.25">
      <c r="A205" s="31" t="s">
        <v>81</v>
      </c>
      <c r="B205" s="22">
        <v>1</v>
      </c>
      <c r="C205" s="23">
        <v>1</v>
      </c>
      <c r="D205" s="32" t="s">
        <v>81</v>
      </c>
      <c r="E205" s="23">
        <v>116</v>
      </c>
      <c r="F205" s="24">
        <v>30.26</v>
      </c>
      <c r="G205" s="24">
        <f>665.98+H205</f>
        <v>747.98</v>
      </c>
      <c r="H205" s="24">
        <v>82</v>
      </c>
      <c r="I205" s="47">
        <f>F205+G205-H205</f>
        <v>696.24</v>
      </c>
      <c r="J205" s="26">
        <v>2479</v>
      </c>
      <c r="K205" s="26">
        <v>891.54</v>
      </c>
      <c r="L205" s="22">
        <v>1</v>
      </c>
      <c r="M205" s="23">
        <v>1</v>
      </c>
      <c r="N205" s="13">
        <v>12</v>
      </c>
      <c r="O205" s="27">
        <f>+F205*L205*N205</f>
        <v>363.12</v>
      </c>
      <c r="P205" s="35">
        <f>G205*L205*N205</f>
        <v>8975.76</v>
      </c>
      <c r="Q205" s="27">
        <f>J205*L205*N205</f>
        <v>29748</v>
      </c>
      <c r="R205" s="27">
        <f>K205*L205*N205</f>
        <v>10698.48</v>
      </c>
      <c r="S205" s="28">
        <f>IF(I205&lt;650,650*0.09,IF(I205&gt;650,I205*0.09))*12</f>
        <v>751.93920000000003</v>
      </c>
      <c r="T205" s="26">
        <f>400+600+(600*0.09)*L205</f>
        <v>1054</v>
      </c>
      <c r="U205" s="26">
        <f>SUM(O205:T205)</f>
        <v>51591.299200000001</v>
      </c>
      <c r="V205" s="37" t="s">
        <v>134</v>
      </c>
      <c r="X205" t="s">
        <v>298</v>
      </c>
    </row>
    <row r="206" spans="1:24" x14ac:dyDescent="0.25">
      <c r="A206" s="31" t="s">
        <v>55</v>
      </c>
      <c r="B206" s="22">
        <v>1</v>
      </c>
      <c r="C206" s="23">
        <v>1</v>
      </c>
      <c r="D206" s="32" t="s">
        <v>55</v>
      </c>
      <c r="E206" s="23">
        <v>117</v>
      </c>
      <c r="F206" s="24">
        <v>23.99</v>
      </c>
      <c r="G206" s="24">
        <f>473.98+H206</f>
        <v>518.98</v>
      </c>
      <c r="H206" s="24">
        <v>45</v>
      </c>
      <c r="I206" s="47">
        <f>F206+G206-H206</f>
        <v>497.97</v>
      </c>
      <c r="J206" s="26">
        <v>2074</v>
      </c>
      <c r="K206" s="26">
        <v>844.49</v>
      </c>
      <c r="L206" s="22">
        <v>1</v>
      </c>
      <c r="M206" s="23">
        <v>1</v>
      </c>
      <c r="N206" s="13">
        <v>12</v>
      </c>
      <c r="O206" s="27">
        <f>+F206*L206*N206</f>
        <v>287.88</v>
      </c>
      <c r="P206" s="35">
        <f>G206*L206*N206</f>
        <v>6227.76</v>
      </c>
      <c r="Q206" s="27">
        <f>J206*L206*N206</f>
        <v>24888</v>
      </c>
      <c r="R206" s="27">
        <f>K206*L206*N206</f>
        <v>10133.880000000001</v>
      </c>
      <c r="S206" s="28">
        <f>IF(I206&lt;650,650*0.09,IF(I206&gt;650,I206*0.09))*12</f>
        <v>702</v>
      </c>
      <c r="T206" s="26">
        <f>400+600+(600*0.09)*L206</f>
        <v>1054</v>
      </c>
      <c r="U206" s="26">
        <f>SUM(O206:T206)</f>
        <v>43293.520000000004</v>
      </c>
      <c r="V206" s="37" t="s">
        <v>139</v>
      </c>
      <c r="X206" t="s">
        <v>299</v>
      </c>
    </row>
    <row r="207" spans="1:24" x14ac:dyDescent="0.25">
      <c r="A207" s="31"/>
      <c r="B207" s="22"/>
      <c r="C207" s="23"/>
      <c r="D207" s="32"/>
      <c r="E207" s="29"/>
      <c r="F207" s="29"/>
      <c r="G207" s="43"/>
      <c r="H207" s="43"/>
      <c r="I207" s="26"/>
      <c r="J207" s="26"/>
      <c r="K207" s="26"/>
      <c r="L207" s="22"/>
      <c r="M207" s="23"/>
      <c r="N207" s="13"/>
      <c r="O207" s="43"/>
      <c r="P207" s="43"/>
      <c r="Q207" s="43"/>
      <c r="R207" s="43"/>
      <c r="S207" s="43"/>
      <c r="T207" s="43"/>
      <c r="U207" s="43"/>
      <c r="V207" s="37"/>
    </row>
    <row r="208" spans="1:24" x14ac:dyDescent="0.25">
      <c r="A208" s="31"/>
      <c r="B208" s="22"/>
      <c r="C208" s="23"/>
      <c r="D208" s="53" t="s">
        <v>145</v>
      </c>
      <c r="E208" s="29"/>
      <c r="F208" s="29"/>
      <c r="G208" s="43"/>
      <c r="H208" s="43"/>
      <c r="I208" s="26"/>
      <c r="J208" s="26"/>
      <c r="K208" s="26"/>
      <c r="L208" s="22"/>
      <c r="M208" s="23"/>
      <c r="N208" s="13"/>
      <c r="O208" s="43"/>
      <c r="P208" s="43"/>
      <c r="Q208" s="43"/>
      <c r="R208" s="43"/>
      <c r="S208" s="43"/>
      <c r="T208" s="43"/>
      <c r="U208" s="43"/>
      <c r="V208" s="37"/>
    </row>
    <row r="209" spans="1:24" x14ac:dyDescent="0.25">
      <c r="A209" s="31" t="s">
        <v>50</v>
      </c>
      <c r="B209" s="22">
        <v>1</v>
      </c>
      <c r="C209" s="23">
        <v>1</v>
      </c>
      <c r="D209" s="32" t="s">
        <v>50</v>
      </c>
      <c r="E209" s="23">
        <v>118</v>
      </c>
      <c r="F209" s="24">
        <v>44.53</v>
      </c>
      <c r="G209" s="24">
        <f>1034.95+H209</f>
        <v>1064.95</v>
      </c>
      <c r="H209" s="24">
        <v>30</v>
      </c>
      <c r="I209" s="47">
        <f>F209+G209-H209</f>
        <v>1079.48</v>
      </c>
      <c r="J209" s="26">
        <v>5094</v>
      </c>
      <c r="K209" s="26">
        <v>649.76</v>
      </c>
      <c r="L209" s="22">
        <v>1</v>
      </c>
      <c r="M209" s="23">
        <v>1</v>
      </c>
      <c r="N209" s="13">
        <v>12</v>
      </c>
      <c r="O209" s="27">
        <f>+F209*L209*N209</f>
        <v>534.36</v>
      </c>
      <c r="P209" s="35">
        <f>G209*L209*N209</f>
        <v>12779.400000000001</v>
      </c>
      <c r="Q209" s="27">
        <f>J209*L209*N209</f>
        <v>61128</v>
      </c>
      <c r="R209" s="27">
        <f>K209*L209*N209</f>
        <v>7797.12</v>
      </c>
      <c r="S209" s="28">
        <f>IF(I209&lt;650,650*0.09,IF(I209&gt;650,I209*0.09))*12</f>
        <v>1165.8384000000001</v>
      </c>
      <c r="T209" s="26">
        <f>400+600+(600*0.09)*L209</f>
        <v>1054</v>
      </c>
      <c r="U209" s="26">
        <f>SUM(O209:T209)</f>
        <v>84458.718399999998</v>
      </c>
      <c r="V209" s="49" t="s">
        <v>146</v>
      </c>
    </row>
    <row r="210" spans="1:24" x14ac:dyDescent="0.25">
      <c r="A210" s="31" t="s">
        <v>55</v>
      </c>
      <c r="B210" s="22">
        <v>1</v>
      </c>
      <c r="C210" s="23">
        <v>1</v>
      </c>
      <c r="D210" s="32" t="s">
        <v>55</v>
      </c>
      <c r="E210" s="23">
        <v>119</v>
      </c>
      <c r="F210" s="24">
        <v>23.99</v>
      </c>
      <c r="G210" s="24">
        <f>468.84+H210</f>
        <v>513.83999999999992</v>
      </c>
      <c r="H210" s="24">
        <v>45</v>
      </c>
      <c r="I210" s="47">
        <f>F210+G210-H210</f>
        <v>492.82999999999993</v>
      </c>
      <c r="J210" s="26">
        <v>2074</v>
      </c>
      <c r="K210" s="26">
        <v>844.49</v>
      </c>
      <c r="L210" s="22">
        <v>1</v>
      </c>
      <c r="M210" s="23">
        <v>1</v>
      </c>
      <c r="N210" s="13">
        <v>12</v>
      </c>
      <c r="O210" s="27">
        <f>+F210*L210*N210</f>
        <v>287.88</v>
      </c>
      <c r="P210" s="35">
        <f>G210*L210*N210</f>
        <v>6166.079999999999</v>
      </c>
      <c r="Q210" s="27">
        <f>J210*L210*N210</f>
        <v>24888</v>
      </c>
      <c r="R210" s="27">
        <f>K210*L210*N210</f>
        <v>10133.880000000001</v>
      </c>
      <c r="S210" s="28">
        <f>IF(I210&lt;650,650*0.09,IF(I210&gt;650,I210*0.09))*12</f>
        <v>702</v>
      </c>
      <c r="T210" s="26">
        <f>400+600+(600*0.09)*L210</f>
        <v>1054</v>
      </c>
      <c r="U210" s="26">
        <f>SUM(O210:T210)</f>
        <v>43231.839999999997</v>
      </c>
      <c r="V210" s="36" t="s">
        <v>100</v>
      </c>
      <c r="X210" t="s">
        <v>300</v>
      </c>
    </row>
    <row r="211" spans="1:24" x14ac:dyDescent="0.25">
      <c r="A211" s="31" t="s">
        <v>55</v>
      </c>
      <c r="B211" s="22">
        <v>1</v>
      </c>
      <c r="C211" s="23">
        <v>1</v>
      </c>
      <c r="D211" s="32" t="s">
        <v>55</v>
      </c>
      <c r="E211" s="23">
        <v>120</v>
      </c>
      <c r="F211" s="24">
        <v>23.99</v>
      </c>
      <c r="G211" s="24">
        <f>473.98+H211</f>
        <v>518.98</v>
      </c>
      <c r="H211" s="24">
        <v>45</v>
      </c>
      <c r="I211" s="47">
        <f>F211+G211-H211</f>
        <v>497.97</v>
      </c>
      <c r="J211" s="26">
        <v>2074</v>
      </c>
      <c r="K211" s="26">
        <v>844.49</v>
      </c>
      <c r="L211" s="22">
        <v>1</v>
      </c>
      <c r="M211" s="23">
        <v>1</v>
      </c>
      <c r="N211" s="13">
        <v>12</v>
      </c>
      <c r="O211" s="27">
        <f>+F211*L211*N211</f>
        <v>287.88</v>
      </c>
      <c r="P211" s="35">
        <f>G211*L211*N211</f>
        <v>6227.76</v>
      </c>
      <c r="Q211" s="27">
        <f>J211*L211*N211</f>
        <v>24888</v>
      </c>
      <c r="R211" s="27">
        <f>K211*L211*N211</f>
        <v>10133.880000000001</v>
      </c>
      <c r="S211" s="28">
        <f>IF(I211&lt;650,650*0.09,IF(I211&gt;650,I211*0.09))*12</f>
        <v>702</v>
      </c>
      <c r="T211" s="26">
        <f>400+600+(600*0.09)*L211</f>
        <v>1054</v>
      </c>
      <c r="U211" s="26">
        <f>SUM(O211:T211)</f>
        <v>43293.520000000004</v>
      </c>
      <c r="V211" s="37" t="s">
        <v>54</v>
      </c>
      <c r="X211" t="s">
        <v>301</v>
      </c>
    </row>
    <row r="212" spans="1:24" x14ac:dyDescent="0.25">
      <c r="A212" s="31"/>
      <c r="B212" s="22"/>
      <c r="C212" s="23"/>
      <c r="D212" s="32"/>
      <c r="E212" s="29"/>
      <c r="F212" s="29"/>
      <c r="G212" s="43"/>
      <c r="H212" s="43"/>
      <c r="I212" s="26"/>
      <c r="J212" s="26"/>
      <c r="K212" s="26"/>
      <c r="L212" s="22"/>
      <c r="M212" s="23"/>
      <c r="N212" s="13"/>
      <c r="O212" s="43"/>
      <c r="P212" s="43"/>
      <c r="Q212" s="43"/>
      <c r="R212" s="43"/>
      <c r="S212" s="43"/>
      <c r="T212" s="43"/>
      <c r="U212" s="43"/>
      <c r="V212" s="37"/>
    </row>
    <row r="213" spans="1:24" x14ac:dyDescent="0.25">
      <c r="A213" s="31"/>
      <c r="B213" s="22"/>
      <c r="C213" s="23"/>
      <c r="D213" s="51" t="s">
        <v>147</v>
      </c>
      <c r="E213" s="29"/>
      <c r="F213" s="29"/>
      <c r="G213" s="43"/>
      <c r="H213" s="43"/>
      <c r="I213" s="26"/>
      <c r="J213" s="26"/>
      <c r="K213" s="26"/>
      <c r="L213" s="22"/>
      <c r="M213" s="23"/>
      <c r="N213" s="13"/>
      <c r="O213" s="43"/>
      <c r="P213" s="43"/>
      <c r="Q213" s="43"/>
      <c r="R213" s="43"/>
      <c r="S213" s="43"/>
      <c r="T213" s="43"/>
      <c r="U213" s="43"/>
      <c r="V213" s="37"/>
    </row>
    <row r="214" spans="1:24" x14ac:dyDescent="0.25">
      <c r="A214" s="31" t="s">
        <v>73</v>
      </c>
      <c r="B214" s="22">
        <v>1</v>
      </c>
      <c r="C214" s="23">
        <v>1</v>
      </c>
      <c r="D214" s="32" t="s">
        <v>73</v>
      </c>
      <c r="E214" s="23">
        <v>121</v>
      </c>
      <c r="F214" s="24">
        <v>38.510000000000005</v>
      </c>
      <c r="G214" s="24">
        <f>884.57+H214</f>
        <v>914.57</v>
      </c>
      <c r="H214" s="24">
        <v>30</v>
      </c>
      <c r="I214" s="47">
        <f>F214+G214-H214</f>
        <v>923.08</v>
      </c>
      <c r="J214" s="26">
        <v>3860.25</v>
      </c>
      <c r="K214" s="26"/>
      <c r="L214" s="22">
        <v>1</v>
      </c>
      <c r="M214" s="23">
        <v>1</v>
      </c>
      <c r="N214" s="13">
        <v>12</v>
      </c>
      <c r="O214" s="27">
        <f>+F214*L214*N214</f>
        <v>462.12000000000006</v>
      </c>
      <c r="P214" s="35">
        <f>G214*L214*N214</f>
        <v>10974.84</v>
      </c>
      <c r="Q214" s="27">
        <f>J214*L214*N214</f>
        <v>46323</v>
      </c>
      <c r="R214" s="27">
        <f>K214*L214*N214</f>
        <v>0</v>
      </c>
      <c r="S214" s="28">
        <f>IF(I214&lt;650,650*0.09,IF(I214&gt;650,I214*0.09))*12</f>
        <v>996.92640000000006</v>
      </c>
      <c r="T214" s="26">
        <f>400+600+(600*0.09)*L214</f>
        <v>1054</v>
      </c>
      <c r="U214" s="26">
        <f>SUM(O214:T214)</f>
        <v>59810.886399999996</v>
      </c>
      <c r="V214" s="37" t="s">
        <v>212</v>
      </c>
    </row>
    <row r="215" spans="1:24" x14ac:dyDescent="0.25">
      <c r="A215" s="31" t="s">
        <v>65</v>
      </c>
      <c r="B215" s="22">
        <v>1</v>
      </c>
      <c r="C215" s="23">
        <v>1</v>
      </c>
      <c r="D215" s="32" t="s">
        <v>65</v>
      </c>
      <c r="E215" s="23">
        <v>122</v>
      </c>
      <c r="F215" s="24">
        <v>30.1</v>
      </c>
      <c r="G215" s="24">
        <f>542.46+H215</f>
        <v>617.46</v>
      </c>
      <c r="H215" s="24">
        <v>75</v>
      </c>
      <c r="I215" s="47">
        <f>F215+G215-H215</f>
        <v>572.56000000000006</v>
      </c>
      <c r="J215" s="26">
        <v>2479</v>
      </c>
      <c r="K215" s="26">
        <v>891.54</v>
      </c>
      <c r="L215" s="22">
        <v>1</v>
      </c>
      <c r="M215" s="23">
        <v>1</v>
      </c>
      <c r="N215" s="13">
        <v>12</v>
      </c>
      <c r="O215" s="27">
        <f>+F215*L215*N215</f>
        <v>361.20000000000005</v>
      </c>
      <c r="P215" s="35">
        <f>G215*L215*N215</f>
        <v>7409.52</v>
      </c>
      <c r="Q215" s="27">
        <f>J215*L215*N215</f>
        <v>29748</v>
      </c>
      <c r="R215" s="27">
        <f>K215*L215*N215</f>
        <v>10698.48</v>
      </c>
      <c r="S215" s="28">
        <f>IF(I215&lt;650,650*0.09,IF(I215&gt;650,I215*0.09))*12</f>
        <v>702</v>
      </c>
      <c r="T215" s="26">
        <f>400+600+(600*0.09)*L215</f>
        <v>1054</v>
      </c>
      <c r="U215" s="26">
        <f>SUM(O215:T215)</f>
        <v>49973.2</v>
      </c>
      <c r="V215" s="37" t="s">
        <v>134</v>
      </c>
      <c r="X215" t="s">
        <v>302</v>
      </c>
    </row>
    <row r="216" spans="1:24" x14ac:dyDescent="0.25">
      <c r="A216" s="99"/>
      <c r="B216" s="100"/>
      <c r="C216" s="101"/>
      <c r="D216" s="102"/>
      <c r="E216" s="112"/>
      <c r="F216" s="112"/>
      <c r="G216" s="114"/>
      <c r="H216" s="114"/>
      <c r="I216" s="106"/>
      <c r="J216" s="106"/>
      <c r="K216" s="106"/>
      <c r="L216" s="100"/>
      <c r="M216" s="101"/>
      <c r="N216" s="115"/>
      <c r="O216" s="114"/>
      <c r="P216" s="114"/>
      <c r="Q216" s="114"/>
      <c r="R216" s="114"/>
      <c r="S216" s="114"/>
      <c r="T216" s="114"/>
      <c r="U216" s="114"/>
      <c r="V216" s="110"/>
    </row>
    <row r="217" spans="1:24" x14ac:dyDescent="0.25">
      <c r="A217" s="31"/>
      <c r="B217" s="22"/>
      <c r="C217" s="23"/>
      <c r="D217" s="111" t="s">
        <v>148</v>
      </c>
      <c r="E217" s="29"/>
      <c r="F217" s="29"/>
      <c r="G217" s="43"/>
      <c r="H217" s="43"/>
      <c r="I217" s="26"/>
      <c r="J217" s="26"/>
      <c r="K217" s="26"/>
      <c r="L217" s="22"/>
      <c r="M217" s="23"/>
      <c r="N217" s="13"/>
      <c r="O217" s="43"/>
      <c r="P217" s="43"/>
      <c r="Q217" s="43"/>
      <c r="R217" s="43"/>
      <c r="S217" s="43"/>
      <c r="T217" s="43"/>
      <c r="U217" s="43"/>
      <c r="V217" s="37"/>
    </row>
    <row r="218" spans="1:24" x14ac:dyDescent="0.25">
      <c r="A218" s="31" t="s">
        <v>73</v>
      </c>
      <c r="B218" s="22">
        <v>1</v>
      </c>
      <c r="C218" s="23">
        <v>1</v>
      </c>
      <c r="D218" s="32" t="s">
        <v>73</v>
      </c>
      <c r="E218" s="23">
        <v>123</v>
      </c>
      <c r="F218" s="24">
        <v>38.510000000000005</v>
      </c>
      <c r="G218" s="24">
        <f>884.57+H218</f>
        <v>914.57</v>
      </c>
      <c r="H218" s="24">
        <v>30</v>
      </c>
      <c r="I218" s="47">
        <f>F218+G218-H218</f>
        <v>923.08</v>
      </c>
      <c r="J218" s="26">
        <v>3860.25</v>
      </c>
      <c r="K218" s="26"/>
      <c r="L218" s="22">
        <v>1</v>
      </c>
      <c r="M218" s="23">
        <v>1</v>
      </c>
      <c r="N218" s="13">
        <v>12</v>
      </c>
      <c r="O218" s="27">
        <f>+F218*L218*N218</f>
        <v>462.12000000000006</v>
      </c>
      <c r="P218" s="35">
        <f>G218*L218*N218</f>
        <v>10974.84</v>
      </c>
      <c r="Q218" s="27">
        <f>J218*L218*N218</f>
        <v>46323</v>
      </c>
      <c r="R218" s="27">
        <f>K218*L218*N218</f>
        <v>0</v>
      </c>
      <c r="S218" s="28">
        <f>IF(I218&lt;650,650*0.09,IF(I218&gt;650,I218*0.09))*12</f>
        <v>996.92640000000006</v>
      </c>
      <c r="T218" s="26">
        <f>400+600+(600*0.09)*L218</f>
        <v>1054</v>
      </c>
      <c r="U218" s="26">
        <f>SUM(O218:T218)</f>
        <v>59810.886399999996</v>
      </c>
      <c r="V218" s="37" t="s">
        <v>213</v>
      </c>
    </row>
    <row r="219" spans="1:24" x14ac:dyDescent="0.25">
      <c r="A219" s="31" t="s">
        <v>65</v>
      </c>
      <c r="B219" s="22">
        <v>1</v>
      </c>
      <c r="C219" s="23">
        <v>1</v>
      </c>
      <c r="D219" s="32" t="s">
        <v>65</v>
      </c>
      <c r="E219" s="13">
        <v>124</v>
      </c>
      <c r="F219" s="85">
        <v>30.1</v>
      </c>
      <c r="G219" s="85">
        <f>542.46+H219</f>
        <v>617.46</v>
      </c>
      <c r="H219" s="55">
        <v>75</v>
      </c>
      <c r="I219" s="47">
        <f>F219+G219-H219</f>
        <v>572.56000000000006</v>
      </c>
      <c r="J219" s="26">
        <v>2479</v>
      </c>
      <c r="K219" s="26">
        <v>891.54</v>
      </c>
      <c r="L219" s="22">
        <v>1</v>
      </c>
      <c r="M219" s="23">
        <v>1</v>
      </c>
      <c r="N219" s="13">
        <v>12</v>
      </c>
      <c r="O219" s="27">
        <f>+F219*L219*N219</f>
        <v>361.20000000000005</v>
      </c>
      <c r="P219" s="35">
        <f>G219*L219*N219</f>
        <v>7409.52</v>
      </c>
      <c r="Q219" s="27">
        <f>J219*L219*N219</f>
        <v>29748</v>
      </c>
      <c r="R219" s="27">
        <f>K219*L219*N219</f>
        <v>10698.48</v>
      </c>
      <c r="S219" s="28">
        <f>IF(I219&lt;650,650*0.09,IF(I219&gt;650,I219*0.09))*12</f>
        <v>702</v>
      </c>
      <c r="T219" s="26">
        <f>400+600+(600*0.09)*L219</f>
        <v>1054</v>
      </c>
      <c r="U219" s="26">
        <f>SUM(O219:T219)</f>
        <v>49973.2</v>
      </c>
      <c r="V219" s="37" t="s">
        <v>66</v>
      </c>
      <c r="X219" t="s">
        <v>303</v>
      </c>
    </row>
    <row r="220" spans="1:24" x14ac:dyDescent="0.25">
      <c r="A220" s="31"/>
      <c r="B220" s="22"/>
      <c r="C220" s="23"/>
      <c r="D220" s="32"/>
      <c r="E220" s="14"/>
      <c r="F220" s="55"/>
      <c r="G220" s="55"/>
      <c r="H220" s="55"/>
      <c r="I220" s="47"/>
      <c r="J220" s="26"/>
      <c r="K220" s="26"/>
      <c r="L220" s="22"/>
      <c r="M220" s="23"/>
      <c r="N220" s="13"/>
      <c r="O220" s="27"/>
      <c r="P220" s="35"/>
      <c r="Q220" s="27"/>
      <c r="R220" s="27"/>
      <c r="S220" s="28"/>
      <c r="T220" s="26"/>
      <c r="U220" s="26"/>
      <c r="V220" s="37"/>
    </row>
    <row r="221" spans="1:24" x14ac:dyDescent="0.25">
      <c r="A221" s="31"/>
      <c r="B221" s="22"/>
      <c r="C221" s="23"/>
      <c r="D221" s="32"/>
      <c r="E221" s="14"/>
      <c r="F221" s="55"/>
      <c r="G221" s="55"/>
      <c r="H221" s="55"/>
      <c r="I221" s="47"/>
      <c r="J221" s="26"/>
      <c r="K221" s="26"/>
      <c r="L221" s="22"/>
      <c r="M221" s="23"/>
      <c r="N221" s="13"/>
      <c r="O221" s="27"/>
      <c r="P221" s="35"/>
      <c r="Q221" s="27"/>
      <c r="R221" s="27"/>
      <c r="S221" s="28"/>
      <c r="T221" s="26"/>
      <c r="U221" s="26"/>
      <c r="V221" s="37"/>
    </row>
    <row r="222" spans="1:24" x14ac:dyDescent="0.25">
      <c r="A222" s="31"/>
      <c r="B222" s="22"/>
      <c r="C222" s="23"/>
      <c r="D222" s="32"/>
      <c r="E222" s="14"/>
      <c r="F222" s="55"/>
      <c r="G222" s="55"/>
      <c r="H222" s="55"/>
      <c r="I222" s="47"/>
      <c r="J222" s="26"/>
      <c r="K222" s="26"/>
      <c r="L222" s="22"/>
      <c r="M222" s="23"/>
      <c r="N222" s="13"/>
      <c r="O222" s="27"/>
      <c r="P222" s="35"/>
      <c r="Q222" s="27"/>
      <c r="R222" s="27"/>
      <c r="S222" s="28"/>
      <c r="T222" s="26"/>
      <c r="U222" s="26"/>
      <c r="V222" s="37"/>
    </row>
    <row r="223" spans="1:24" x14ac:dyDescent="0.25">
      <c r="A223" s="31"/>
      <c r="B223" s="22"/>
      <c r="C223" s="23"/>
      <c r="D223" s="32"/>
      <c r="E223" s="14"/>
      <c r="F223" s="55"/>
      <c r="G223" s="55"/>
      <c r="H223" s="55"/>
      <c r="I223" s="47"/>
      <c r="J223" s="26"/>
      <c r="K223" s="26"/>
      <c r="L223" s="22"/>
      <c r="M223" s="23"/>
      <c r="N223" s="13"/>
      <c r="O223" s="27"/>
      <c r="P223" s="35"/>
      <c r="Q223" s="27"/>
      <c r="R223" s="27"/>
      <c r="S223" s="28"/>
      <c r="T223" s="26"/>
      <c r="U223" s="26"/>
      <c r="V223" s="37"/>
    </row>
    <row r="224" spans="1:24" x14ac:dyDescent="0.25">
      <c r="A224" s="31"/>
      <c r="B224" s="22"/>
      <c r="C224" s="23"/>
      <c r="D224" s="32"/>
      <c r="E224" s="14"/>
      <c r="F224" s="55"/>
      <c r="G224" s="55"/>
      <c r="H224" s="55"/>
      <c r="I224" s="47"/>
      <c r="J224" s="26"/>
      <c r="K224" s="26"/>
      <c r="L224" s="22"/>
      <c r="M224" s="23"/>
      <c r="N224" s="13"/>
      <c r="O224" s="27"/>
      <c r="P224" s="35"/>
      <c r="Q224" s="27"/>
      <c r="R224" s="27"/>
      <c r="S224" s="28"/>
      <c r="T224" s="26"/>
      <c r="U224" s="26"/>
      <c r="V224" s="37"/>
    </row>
    <row r="225" spans="1:22" x14ac:dyDescent="0.25">
      <c r="A225" s="31"/>
      <c r="B225" s="22"/>
      <c r="C225" s="23"/>
      <c r="D225" s="32"/>
      <c r="E225" s="14"/>
      <c r="F225" s="55"/>
      <c r="G225" s="55"/>
      <c r="H225" s="55"/>
      <c r="I225" s="47"/>
      <c r="J225" s="26"/>
      <c r="K225" s="26"/>
      <c r="L225" s="22"/>
      <c r="M225" s="23"/>
      <c r="N225" s="13"/>
      <c r="O225" s="27"/>
      <c r="P225" s="35"/>
      <c r="Q225" s="27"/>
      <c r="R225" s="27"/>
      <c r="S225" s="28"/>
      <c r="T225" s="26"/>
      <c r="U225" s="26"/>
      <c r="V225" s="37"/>
    </row>
    <row r="226" spans="1:22" x14ac:dyDescent="0.25">
      <c r="A226" s="31"/>
      <c r="B226" s="22"/>
      <c r="C226" s="23"/>
      <c r="D226" s="32"/>
      <c r="E226" s="14"/>
      <c r="F226" s="55"/>
      <c r="G226" s="55"/>
      <c r="H226" s="55"/>
      <c r="I226" s="47"/>
      <c r="J226" s="26"/>
      <c r="K226" s="26"/>
      <c r="L226" s="22"/>
      <c r="M226" s="23"/>
      <c r="N226" s="13"/>
      <c r="O226" s="27"/>
      <c r="P226" s="35"/>
      <c r="Q226" s="27"/>
      <c r="R226" s="27"/>
      <c r="S226" s="28"/>
      <c r="T226" s="26"/>
      <c r="U226" s="26"/>
      <c r="V226" s="37"/>
    </row>
    <row r="227" spans="1:22" x14ac:dyDescent="0.25">
      <c r="A227" s="31"/>
      <c r="B227" s="22"/>
      <c r="C227" s="23"/>
      <c r="D227" s="32"/>
      <c r="E227" s="14"/>
      <c r="F227" s="55"/>
      <c r="G227" s="55"/>
      <c r="H227" s="55"/>
      <c r="I227" s="47"/>
      <c r="J227" s="26"/>
      <c r="K227" s="26"/>
      <c r="L227" s="22"/>
      <c r="M227" s="23"/>
      <c r="N227" s="13"/>
      <c r="O227" s="27"/>
      <c r="P227" s="35"/>
      <c r="Q227" s="27"/>
      <c r="R227" s="27"/>
      <c r="S227" s="28"/>
      <c r="T227" s="26"/>
      <c r="U227" s="26"/>
      <c r="V227" s="37"/>
    </row>
    <row r="228" spans="1:22" x14ac:dyDescent="0.25">
      <c r="A228" s="31"/>
      <c r="B228" s="22"/>
      <c r="C228" s="23"/>
      <c r="D228" s="32"/>
      <c r="E228" s="14"/>
      <c r="F228" s="55"/>
      <c r="G228" s="55"/>
      <c r="H228" s="55"/>
      <c r="I228" s="47"/>
      <c r="J228" s="26"/>
      <c r="K228" s="26"/>
      <c r="L228" s="22"/>
      <c r="M228" s="23"/>
      <c r="N228" s="13"/>
      <c r="O228" s="27"/>
      <c r="P228" s="35"/>
      <c r="Q228" s="27"/>
      <c r="R228" s="27"/>
      <c r="S228" s="28"/>
      <c r="T228" s="26"/>
      <c r="U228" s="26"/>
      <c r="V228" s="37"/>
    </row>
    <row r="229" spans="1:22" x14ac:dyDescent="0.25">
      <c r="A229" s="31"/>
      <c r="B229" s="22"/>
      <c r="C229" s="23"/>
      <c r="D229" s="32"/>
      <c r="E229" s="14"/>
      <c r="F229" s="55"/>
      <c r="G229" s="55"/>
      <c r="H229" s="55"/>
      <c r="I229" s="47"/>
      <c r="J229" s="26"/>
      <c r="K229" s="26"/>
      <c r="L229" s="22"/>
      <c r="M229" s="23"/>
      <c r="N229" s="13"/>
      <c r="O229" s="27"/>
      <c r="P229" s="35"/>
      <c r="Q229" s="27"/>
      <c r="R229" s="27"/>
      <c r="S229" s="28"/>
      <c r="T229" s="26"/>
      <c r="U229" s="26"/>
      <c r="V229" s="37"/>
    </row>
    <row r="230" spans="1:22" x14ac:dyDescent="0.25">
      <c r="A230" s="31"/>
      <c r="B230" s="22"/>
      <c r="C230" s="23"/>
      <c r="D230" s="32"/>
      <c r="E230" s="14"/>
      <c r="F230" s="55"/>
      <c r="G230" s="55"/>
      <c r="H230" s="55"/>
      <c r="I230" s="47"/>
      <c r="J230" s="26"/>
      <c r="K230" s="26"/>
      <c r="L230" s="22"/>
      <c r="M230" s="23"/>
      <c r="N230" s="13"/>
      <c r="O230" s="27"/>
      <c r="P230" s="35"/>
      <c r="Q230" s="27"/>
      <c r="R230" s="27"/>
      <c r="S230" s="28"/>
      <c r="T230" s="26"/>
      <c r="U230" s="26"/>
      <c r="V230" s="37"/>
    </row>
    <row r="231" spans="1:22" x14ac:dyDescent="0.25">
      <c r="A231" s="31"/>
      <c r="B231" s="22"/>
      <c r="C231" s="23"/>
      <c r="D231" s="32"/>
      <c r="E231" s="14"/>
      <c r="F231" s="55"/>
      <c r="G231" s="55"/>
      <c r="H231" s="55"/>
      <c r="I231" s="47"/>
      <c r="J231" s="26"/>
      <c r="K231" s="26"/>
      <c r="L231" s="22"/>
      <c r="M231" s="23"/>
      <c r="N231" s="13"/>
      <c r="O231" s="27"/>
      <c r="P231" s="35"/>
      <c r="Q231" s="27"/>
      <c r="R231" s="27"/>
      <c r="S231" s="28"/>
      <c r="T231" s="26"/>
      <c r="U231" s="26"/>
      <c r="V231" s="37"/>
    </row>
    <row r="232" spans="1:22" x14ac:dyDescent="0.25">
      <c r="A232" s="31"/>
      <c r="B232" s="22"/>
      <c r="C232" s="23"/>
      <c r="D232" s="32"/>
      <c r="E232" s="14"/>
      <c r="F232" s="55"/>
      <c r="G232" s="55"/>
      <c r="H232" s="55"/>
      <c r="I232" s="25"/>
      <c r="J232" s="43"/>
      <c r="K232" s="43"/>
      <c r="L232" s="22"/>
      <c r="M232" s="23"/>
      <c r="N232" s="13"/>
      <c r="O232" s="27"/>
      <c r="P232" s="35"/>
      <c r="Q232" s="27"/>
      <c r="R232" s="27"/>
      <c r="S232" s="28"/>
      <c r="T232" s="26"/>
      <c r="U232" s="26"/>
      <c r="V232" s="37"/>
    </row>
    <row r="233" spans="1:22" x14ac:dyDescent="0.25">
      <c r="A233" s="31"/>
      <c r="B233" s="22"/>
      <c r="C233" s="23"/>
      <c r="D233" s="32"/>
      <c r="E233" s="14"/>
      <c r="F233" s="55"/>
      <c r="G233" s="55"/>
      <c r="H233" s="55"/>
      <c r="I233" s="25"/>
      <c r="J233" s="43"/>
      <c r="K233" s="43"/>
      <c r="L233" s="22"/>
      <c r="M233" s="23"/>
      <c r="N233" s="13"/>
      <c r="O233" s="27"/>
      <c r="P233" s="35"/>
      <c r="Q233" s="27"/>
      <c r="R233" s="27"/>
      <c r="S233" s="28"/>
      <c r="T233" s="26"/>
      <c r="U233" s="26"/>
      <c r="V233" s="37"/>
    </row>
    <row r="234" spans="1:22" x14ac:dyDescent="0.25">
      <c r="A234" s="31"/>
      <c r="B234" s="22"/>
      <c r="C234" s="23"/>
      <c r="D234" s="32"/>
      <c r="E234" s="14"/>
      <c r="F234" s="55"/>
      <c r="G234" s="55"/>
      <c r="H234" s="55"/>
      <c r="I234" s="25"/>
      <c r="J234" s="43"/>
      <c r="K234" s="43"/>
      <c r="L234" s="22"/>
      <c r="M234" s="23"/>
      <c r="N234" s="13"/>
      <c r="O234" s="27"/>
      <c r="P234" s="35"/>
      <c r="Q234" s="27"/>
      <c r="R234" s="27"/>
      <c r="S234" s="28"/>
      <c r="T234" s="26"/>
      <c r="U234" s="26"/>
      <c r="V234" s="37"/>
    </row>
    <row r="235" spans="1:22" x14ac:dyDescent="0.25">
      <c r="A235" s="31"/>
      <c r="B235" s="22"/>
      <c r="C235" s="23"/>
      <c r="D235" s="32"/>
      <c r="E235" s="14"/>
      <c r="F235" s="55"/>
      <c r="G235" s="55"/>
      <c r="H235" s="55"/>
      <c r="I235" s="25"/>
      <c r="J235" s="43"/>
      <c r="K235" s="43"/>
      <c r="L235" s="22"/>
      <c r="M235" s="23"/>
      <c r="N235" s="13"/>
      <c r="O235" s="27"/>
      <c r="P235" s="35"/>
      <c r="Q235" s="27"/>
      <c r="R235" s="27"/>
      <c r="S235" s="28"/>
      <c r="T235" s="26"/>
      <c r="U235" s="26"/>
      <c r="V235" s="37"/>
    </row>
    <row r="236" spans="1:22" x14ac:dyDescent="0.25">
      <c r="A236" s="31"/>
      <c r="B236" s="22"/>
      <c r="C236" s="23"/>
      <c r="D236" s="32"/>
      <c r="E236" s="14"/>
      <c r="F236" s="55"/>
      <c r="G236" s="55"/>
      <c r="H236" s="55"/>
      <c r="I236" s="25"/>
      <c r="J236" s="43"/>
      <c r="K236" s="43"/>
      <c r="L236" s="22"/>
      <c r="M236" s="23"/>
      <c r="N236" s="13"/>
      <c r="O236" s="27"/>
      <c r="P236" s="35"/>
      <c r="Q236" s="27"/>
      <c r="R236" s="27"/>
      <c r="S236" s="28"/>
      <c r="T236" s="26"/>
      <c r="U236" s="26"/>
      <c r="V236" s="37"/>
    </row>
    <row r="237" spans="1:22" x14ac:dyDescent="0.25">
      <c r="A237" s="31"/>
      <c r="B237" s="22"/>
      <c r="C237" s="23"/>
      <c r="D237" s="32"/>
      <c r="E237" s="14"/>
      <c r="F237" s="55"/>
      <c r="G237" s="55"/>
      <c r="H237" s="55"/>
      <c r="I237" s="25"/>
      <c r="J237" s="43"/>
      <c r="K237" s="43"/>
      <c r="L237" s="22"/>
      <c r="M237" s="23"/>
      <c r="N237" s="13"/>
      <c r="O237" s="27"/>
      <c r="P237" s="35"/>
      <c r="Q237" s="27"/>
      <c r="R237" s="27"/>
      <c r="S237" s="28"/>
      <c r="T237" s="26"/>
      <c r="U237" s="26"/>
      <c r="V237" s="37"/>
    </row>
    <row r="238" spans="1:22" x14ac:dyDescent="0.25">
      <c r="A238" s="31"/>
      <c r="B238" s="22"/>
      <c r="C238" s="23"/>
      <c r="D238" s="32"/>
      <c r="E238" s="14"/>
      <c r="F238" s="55"/>
      <c r="G238" s="55"/>
      <c r="H238" s="55"/>
      <c r="I238" s="25"/>
      <c r="J238" s="43"/>
      <c r="K238" s="43"/>
      <c r="L238" s="22"/>
      <c r="M238" s="23"/>
      <c r="N238" s="13"/>
      <c r="O238" s="27"/>
      <c r="P238" s="35"/>
      <c r="Q238" s="27"/>
      <c r="R238" s="27"/>
      <c r="S238" s="28"/>
      <c r="T238" s="26"/>
      <c r="U238" s="26"/>
      <c r="V238" s="37"/>
    </row>
    <row r="239" spans="1:22" x14ac:dyDescent="0.25">
      <c r="A239" s="31"/>
      <c r="B239" s="22"/>
      <c r="C239" s="23"/>
      <c r="D239" s="32"/>
      <c r="E239" s="14"/>
      <c r="F239" s="55"/>
      <c r="G239" s="55"/>
      <c r="H239" s="55"/>
      <c r="I239" s="25"/>
      <c r="J239" s="43"/>
      <c r="K239" s="43"/>
      <c r="L239" s="22"/>
      <c r="M239" s="23"/>
      <c r="N239" s="13"/>
      <c r="O239" s="27"/>
      <c r="P239" s="35"/>
      <c r="Q239" s="27"/>
      <c r="R239" s="27"/>
      <c r="S239" s="28"/>
      <c r="T239" s="26"/>
      <c r="U239" s="26"/>
      <c r="V239" s="37"/>
    </row>
    <row r="240" spans="1:22" x14ac:dyDescent="0.25">
      <c r="A240" s="31"/>
      <c r="B240" s="22"/>
      <c r="C240" s="23"/>
      <c r="D240" s="32"/>
      <c r="E240" s="14"/>
      <c r="F240" s="55"/>
      <c r="G240" s="55"/>
      <c r="H240" s="55"/>
      <c r="I240" s="25"/>
      <c r="J240" s="43"/>
      <c r="K240" s="43"/>
      <c r="L240" s="22"/>
      <c r="M240" s="23"/>
      <c r="N240" s="13"/>
      <c r="O240" s="27"/>
      <c r="P240" s="35"/>
      <c r="Q240" s="27"/>
      <c r="R240" s="27"/>
      <c r="S240" s="28"/>
      <c r="T240" s="26"/>
      <c r="U240" s="26"/>
      <c r="V240" s="37"/>
    </row>
    <row r="241" spans="1:22" x14ac:dyDescent="0.25">
      <c r="A241" s="31"/>
      <c r="B241" s="22"/>
      <c r="C241" s="23"/>
      <c r="D241" s="32"/>
      <c r="E241" s="14"/>
      <c r="F241" s="55"/>
      <c r="G241" s="55"/>
      <c r="H241" s="55"/>
      <c r="I241" s="25"/>
      <c r="J241" s="43"/>
      <c r="K241" s="43"/>
      <c r="L241" s="22"/>
      <c r="M241" s="23"/>
      <c r="N241" s="13"/>
      <c r="O241" s="27"/>
      <c r="P241" s="35"/>
      <c r="Q241" s="27"/>
      <c r="R241" s="27"/>
      <c r="S241" s="28"/>
      <c r="T241" s="26"/>
      <c r="U241" s="26"/>
      <c r="V241" s="37"/>
    </row>
    <row r="242" spans="1:22" x14ac:dyDescent="0.25">
      <c r="A242" s="31"/>
      <c r="B242" s="22"/>
      <c r="C242" s="23"/>
      <c r="D242" s="32"/>
      <c r="E242" s="14"/>
      <c r="F242" s="55"/>
      <c r="G242" s="55"/>
      <c r="H242" s="55"/>
      <c r="I242" s="25"/>
      <c r="J242" s="43" t="s">
        <v>219</v>
      </c>
      <c r="K242" s="43"/>
      <c r="L242" s="22"/>
      <c r="M242" s="23"/>
      <c r="N242" s="13"/>
      <c r="O242" s="27"/>
      <c r="P242" s="35"/>
      <c r="Q242" s="27"/>
      <c r="R242" s="27"/>
      <c r="S242" s="28"/>
      <c r="T242" s="26"/>
      <c r="U242" s="26"/>
      <c r="V242" s="37"/>
    </row>
    <row r="243" spans="1:22" x14ac:dyDescent="0.25">
      <c r="A243" s="31"/>
      <c r="B243" s="22"/>
      <c r="C243" s="23"/>
      <c r="D243" s="32"/>
      <c r="E243" s="14"/>
      <c r="F243" s="55"/>
      <c r="G243" s="55"/>
      <c r="H243" s="55"/>
      <c r="I243" s="25"/>
      <c r="J243" s="43"/>
      <c r="K243" s="43"/>
      <c r="L243" s="22"/>
      <c r="M243" s="23"/>
      <c r="N243" s="13"/>
      <c r="O243" s="27"/>
      <c r="P243" s="35"/>
      <c r="Q243" s="27"/>
      <c r="R243" s="27"/>
      <c r="S243" s="28"/>
      <c r="T243" s="26"/>
      <c r="U243" s="26"/>
      <c r="V243" s="37"/>
    </row>
    <row r="244" spans="1:22" x14ac:dyDescent="0.25">
      <c r="A244" s="31"/>
      <c r="B244" s="22"/>
      <c r="C244" s="23"/>
      <c r="D244" s="32"/>
      <c r="E244" s="14"/>
      <c r="F244" s="55"/>
      <c r="G244" s="55"/>
      <c r="H244" s="55"/>
      <c r="I244" s="25"/>
      <c r="J244" s="43"/>
      <c r="K244" s="43"/>
      <c r="L244" s="22"/>
      <c r="M244" s="23"/>
      <c r="N244" s="13"/>
      <c r="O244" s="27"/>
      <c r="P244" s="35"/>
      <c r="Q244" s="27"/>
      <c r="R244" s="27"/>
      <c r="S244" s="28"/>
      <c r="T244" s="26"/>
      <c r="U244" s="26"/>
      <c r="V244" s="37"/>
    </row>
    <row r="245" spans="1:22" x14ac:dyDescent="0.25">
      <c r="A245" s="31"/>
      <c r="B245" s="22"/>
      <c r="C245" s="23"/>
      <c r="D245" s="32"/>
      <c r="E245" s="14"/>
      <c r="F245" s="55"/>
      <c r="G245" s="55"/>
      <c r="H245" s="55"/>
      <c r="I245" s="25"/>
      <c r="J245" s="43"/>
      <c r="K245" s="43"/>
      <c r="L245" s="22"/>
      <c r="M245" s="23"/>
      <c r="N245" s="13"/>
      <c r="O245" s="27"/>
      <c r="P245" s="35"/>
      <c r="Q245" s="27"/>
      <c r="R245" s="27"/>
      <c r="S245" s="28"/>
      <c r="T245" s="26"/>
      <c r="U245" s="26"/>
      <c r="V245" s="37"/>
    </row>
    <row r="246" spans="1:22" x14ac:dyDescent="0.25">
      <c r="A246" s="31"/>
      <c r="B246" s="22"/>
      <c r="C246" s="23"/>
      <c r="D246" s="32"/>
      <c r="E246" s="14"/>
      <c r="F246" s="55"/>
      <c r="G246" s="55"/>
      <c r="H246" s="55"/>
      <c r="I246" s="25"/>
      <c r="J246" s="43"/>
      <c r="K246" s="43"/>
      <c r="L246" s="22"/>
      <c r="M246" s="23"/>
      <c r="N246" s="13"/>
      <c r="O246" s="27"/>
      <c r="P246" s="35"/>
      <c r="Q246" s="27"/>
      <c r="R246" s="27"/>
      <c r="S246" s="28"/>
      <c r="T246" s="26"/>
      <c r="U246" s="26"/>
      <c r="V246" s="37"/>
    </row>
    <row r="247" spans="1:22" x14ac:dyDescent="0.25">
      <c r="A247" s="31"/>
      <c r="B247" s="22"/>
      <c r="C247" s="23"/>
      <c r="D247" s="32"/>
      <c r="E247" s="14"/>
      <c r="F247" s="55"/>
      <c r="G247" s="55"/>
      <c r="H247" s="55"/>
      <c r="I247" s="25"/>
      <c r="J247" s="43"/>
      <c r="K247" s="43"/>
      <c r="L247" s="22"/>
      <c r="M247" s="23"/>
      <c r="N247" s="13"/>
      <c r="O247" s="27"/>
      <c r="P247" s="35"/>
      <c r="Q247" s="27"/>
      <c r="R247" s="27"/>
      <c r="S247" s="28"/>
      <c r="T247" s="26"/>
      <c r="U247" s="26"/>
      <c r="V247" s="37"/>
    </row>
    <row r="248" spans="1:22" x14ac:dyDescent="0.25">
      <c r="A248" s="31"/>
      <c r="B248" s="22"/>
      <c r="C248" s="23"/>
      <c r="D248" s="32"/>
      <c r="E248" s="14"/>
      <c r="F248" s="55"/>
      <c r="G248" s="55"/>
      <c r="H248" s="55"/>
      <c r="I248" s="25"/>
      <c r="J248" s="43"/>
      <c r="K248" s="43"/>
      <c r="L248" s="22"/>
      <c r="M248" s="23"/>
      <c r="N248" s="13"/>
      <c r="O248" s="27"/>
      <c r="P248" s="35"/>
      <c r="Q248" s="27"/>
      <c r="R248" s="27"/>
      <c r="S248" s="28"/>
      <c r="T248" s="26"/>
      <c r="U248" s="26"/>
      <c r="V248" s="37"/>
    </row>
    <row r="249" spans="1:22" x14ac:dyDescent="0.25">
      <c r="A249" s="31"/>
      <c r="B249" s="22"/>
      <c r="C249" s="23"/>
      <c r="D249" s="32"/>
      <c r="E249" s="14"/>
      <c r="F249" s="55"/>
      <c r="G249" s="55"/>
      <c r="H249" s="55"/>
      <c r="I249" s="25"/>
      <c r="J249" s="43"/>
      <c r="K249" s="43"/>
      <c r="L249" s="22"/>
      <c r="M249" s="23"/>
      <c r="N249" s="13"/>
      <c r="O249" s="27"/>
      <c r="P249" s="35"/>
      <c r="Q249" s="27"/>
      <c r="R249" s="27"/>
      <c r="S249" s="28"/>
      <c r="T249" s="26"/>
      <c r="U249" s="26"/>
      <c r="V249" s="37"/>
    </row>
    <row r="250" spans="1:22" x14ac:dyDescent="0.25">
      <c r="A250" s="31"/>
      <c r="B250" s="22"/>
      <c r="C250" s="23"/>
      <c r="D250" s="32"/>
      <c r="E250" s="14"/>
      <c r="F250" s="55"/>
      <c r="G250" s="55"/>
      <c r="H250" s="55"/>
      <c r="I250" s="25"/>
      <c r="J250" s="43"/>
      <c r="K250" s="43"/>
      <c r="L250" s="22"/>
      <c r="M250" s="23"/>
      <c r="N250" s="13"/>
      <c r="O250" s="27"/>
      <c r="P250" s="35"/>
      <c r="Q250" s="27"/>
      <c r="R250" s="27"/>
      <c r="S250" s="28"/>
      <c r="T250" s="26"/>
      <c r="U250" s="26"/>
      <c r="V250" s="37"/>
    </row>
    <row r="251" spans="1:22" x14ac:dyDescent="0.25">
      <c r="A251" s="31"/>
      <c r="B251" s="22"/>
      <c r="C251" s="23"/>
      <c r="D251" s="32"/>
      <c r="E251" s="14"/>
      <c r="F251" s="55"/>
      <c r="G251" s="55"/>
      <c r="H251" s="55"/>
      <c r="I251" s="25"/>
      <c r="J251" s="43"/>
      <c r="K251" s="43"/>
      <c r="L251" s="22"/>
      <c r="M251" s="23"/>
      <c r="N251" s="13"/>
      <c r="O251" s="27"/>
      <c r="P251" s="35"/>
      <c r="Q251" s="27"/>
      <c r="R251" s="27"/>
      <c r="S251" s="28"/>
      <c r="T251" s="26"/>
      <c r="U251" s="26"/>
      <c r="V251" s="37"/>
    </row>
    <row r="252" spans="1:22" x14ac:dyDescent="0.25">
      <c r="A252" s="31"/>
      <c r="B252" s="22"/>
      <c r="C252" s="23"/>
      <c r="D252" s="32"/>
      <c r="E252" s="14"/>
      <c r="F252" s="55"/>
      <c r="G252" s="55"/>
      <c r="H252" s="55"/>
      <c r="I252" s="25"/>
      <c r="J252" s="43"/>
      <c r="K252" s="43"/>
      <c r="L252" s="22"/>
      <c r="M252" s="23"/>
      <c r="N252" s="13"/>
      <c r="O252" s="27"/>
      <c r="P252" s="35"/>
      <c r="Q252" s="27"/>
      <c r="R252" s="27"/>
      <c r="S252" s="28"/>
      <c r="T252" s="26"/>
      <c r="U252" s="26"/>
      <c r="V252" s="37"/>
    </row>
    <row r="253" spans="1:22" x14ac:dyDescent="0.25">
      <c r="A253" s="31"/>
      <c r="B253" s="22"/>
      <c r="C253" s="23"/>
      <c r="D253" s="32"/>
      <c r="E253" s="14"/>
      <c r="F253" s="55"/>
      <c r="G253" s="55"/>
      <c r="H253" s="55"/>
      <c r="I253" s="25"/>
      <c r="J253" s="43"/>
      <c r="K253" s="43"/>
      <c r="L253" s="22"/>
      <c r="M253" s="23"/>
      <c r="N253" s="13"/>
      <c r="O253" s="27"/>
      <c r="P253" s="35"/>
      <c r="Q253" s="27"/>
      <c r="R253" s="27"/>
      <c r="S253" s="28"/>
      <c r="T253" s="26"/>
      <c r="U253" s="26"/>
      <c r="V253" s="37"/>
    </row>
    <row r="254" spans="1:22" x14ac:dyDescent="0.25">
      <c r="A254" s="31"/>
      <c r="B254" s="22"/>
      <c r="C254" s="23"/>
      <c r="D254" s="32"/>
      <c r="E254" s="14"/>
      <c r="F254" s="55"/>
      <c r="G254" s="55"/>
      <c r="H254" s="55"/>
      <c r="I254" s="25"/>
      <c r="J254" s="43"/>
      <c r="K254" s="43"/>
      <c r="L254" s="22"/>
      <c r="M254" s="23"/>
      <c r="N254" s="13"/>
      <c r="O254" s="27"/>
      <c r="P254" s="35"/>
      <c r="Q254" s="27"/>
      <c r="R254" s="27"/>
      <c r="S254" s="28"/>
      <c r="T254" s="26"/>
      <c r="U254" s="26"/>
      <c r="V254" s="37"/>
    </row>
    <row r="255" spans="1:22" x14ac:dyDescent="0.25">
      <c r="A255" s="31"/>
      <c r="B255" s="22"/>
      <c r="C255" s="23"/>
      <c r="D255" s="32"/>
      <c r="E255" s="14"/>
      <c r="F255" s="29"/>
      <c r="G255" s="43"/>
      <c r="H255" s="43"/>
      <c r="I255" s="43"/>
      <c r="J255" s="43"/>
      <c r="K255" s="43"/>
      <c r="L255" s="22"/>
      <c r="M255" s="23"/>
      <c r="N255" s="13"/>
      <c r="O255" s="43"/>
      <c r="P255" s="43"/>
      <c r="Q255" s="43"/>
      <c r="R255" s="43"/>
      <c r="S255" s="43"/>
      <c r="T255" s="43"/>
      <c r="U255" s="43"/>
      <c r="V255" s="37"/>
    </row>
    <row r="256" spans="1:22" x14ac:dyDescent="0.25">
      <c r="A256" s="56"/>
      <c r="B256" s="57"/>
      <c r="C256" s="57"/>
      <c r="D256" s="57"/>
      <c r="E256" s="58"/>
      <c r="F256" s="58"/>
      <c r="G256" s="58"/>
      <c r="H256" s="58"/>
      <c r="I256" s="58"/>
      <c r="J256" s="58"/>
      <c r="K256" s="58"/>
      <c r="L256" s="57"/>
      <c r="M256" s="57"/>
      <c r="N256" s="57"/>
      <c r="O256" s="58"/>
      <c r="P256" s="58"/>
      <c r="Q256" s="58"/>
      <c r="R256" s="58"/>
      <c r="S256" s="58"/>
      <c r="T256" s="58"/>
      <c r="U256" s="58"/>
      <c r="V256" s="58"/>
    </row>
    <row r="257" spans="1:22" ht="21" customHeight="1" x14ac:dyDescent="0.25">
      <c r="A257" s="59" t="s">
        <v>22</v>
      </c>
      <c r="B257" s="60">
        <f>SUM(B19:B256)</f>
        <v>133</v>
      </c>
      <c r="C257" s="60">
        <f>SUM(C19:C256)</f>
        <v>123</v>
      </c>
      <c r="D257" s="61"/>
      <c r="E257" s="62"/>
      <c r="F257" s="63">
        <f>O257/12</f>
        <v>3990.2200000000012</v>
      </c>
      <c r="G257" s="63">
        <f>P257/12</f>
        <v>118235.02</v>
      </c>
      <c r="H257" s="63"/>
      <c r="I257" s="63"/>
      <c r="J257" s="63">
        <f>Q257/12</f>
        <v>356200.13000000006</v>
      </c>
      <c r="K257" s="63">
        <f>R257/12</f>
        <v>74139.899999999951</v>
      </c>
      <c r="L257" s="60">
        <f>SUM(L19:L256)</f>
        <v>124</v>
      </c>
      <c r="M257" s="60">
        <f>SUM(M19:M256)</f>
        <v>122</v>
      </c>
      <c r="N257" s="64"/>
      <c r="O257" s="65">
        <f t="shared" ref="O257:U257" si="48">SUM(O19:O256)</f>
        <v>47882.640000000014</v>
      </c>
      <c r="P257" s="65">
        <f t="shared" si="48"/>
        <v>1418820.24</v>
      </c>
      <c r="Q257" s="65">
        <f>SUM(Q19:Q256)</f>
        <v>4274401.5600000005</v>
      </c>
      <c r="R257" s="65">
        <f t="shared" si="48"/>
        <v>889678.79999999946</v>
      </c>
      <c r="S257" s="65">
        <f t="shared" si="48"/>
        <v>132819.68519999992</v>
      </c>
      <c r="T257" s="65">
        <f t="shared" si="48"/>
        <v>130696</v>
      </c>
      <c r="U257" s="65">
        <f t="shared" si="48"/>
        <v>6894298.9251999985</v>
      </c>
      <c r="V257" s="66"/>
    </row>
    <row r="259" spans="1:22" x14ac:dyDescent="0.25">
      <c r="Q259" s="132">
        <v>5141339</v>
      </c>
      <c r="R259" s="148">
        <f>SUM(Q257:R257)</f>
        <v>5164080.3600000003</v>
      </c>
    </row>
    <row r="260" spans="1:22" x14ac:dyDescent="0.25">
      <c r="Q260" s="133">
        <f>SUM(Q257+R257-Q259)</f>
        <v>22741.360000000335</v>
      </c>
    </row>
    <row r="262" spans="1:22" ht="15" x14ac:dyDescent="0.25">
      <c r="A262" s="1" t="s">
        <v>0</v>
      </c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" x14ac:dyDescent="0.25">
      <c r="A263" s="151" t="s">
        <v>1</v>
      </c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</row>
    <row r="264" spans="1:22" ht="15" x14ac:dyDescent="0.25">
      <c r="A264" s="2" t="s">
        <v>2</v>
      </c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3"/>
      <c r="V264" s="5"/>
    </row>
    <row r="265" spans="1:22" ht="15" x14ac:dyDescent="0.25">
      <c r="A265" s="152" t="s">
        <v>3</v>
      </c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</row>
    <row r="266" spans="1:22" ht="1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3"/>
      <c r="V266" s="3"/>
    </row>
    <row r="267" spans="1:22" ht="15" x14ac:dyDescent="0.25">
      <c r="A267" s="2" t="s">
        <v>4</v>
      </c>
      <c r="B267" s="2"/>
      <c r="C267" s="2"/>
      <c r="D267" s="6"/>
      <c r="E267" s="2"/>
      <c r="F267" s="2"/>
      <c r="G267" s="2"/>
      <c r="H267" s="2"/>
      <c r="I267" s="2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" x14ac:dyDescent="0.25">
      <c r="A268" s="2" t="s">
        <v>5</v>
      </c>
      <c r="B268" s="2"/>
      <c r="C268" s="2"/>
      <c r="D268" s="6"/>
      <c r="E268" s="2"/>
      <c r="F268" s="2"/>
      <c r="G268" s="2"/>
      <c r="H268" s="2"/>
      <c r="I268" s="2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" x14ac:dyDescent="0.25">
      <c r="A269" s="2" t="s">
        <v>222</v>
      </c>
      <c r="B269" s="2"/>
      <c r="C269" s="2"/>
      <c r="D269" s="6"/>
      <c r="E269" s="2"/>
      <c r="F269" s="2"/>
      <c r="G269" s="2"/>
      <c r="H269" s="2"/>
      <c r="I269" s="2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7"/>
    </row>
    <row r="270" spans="1:22" ht="15" x14ac:dyDescent="0.25">
      <c r="A270" s="2" t="s">
        <v>221</v>
      </c>
      <c r="B270" s="2"/>
      <c r="C270" s="2"/>
      <c r="D270" s="6"/>
      <c r="E270" s="2"/>
      <c r="F270" s="2"/>
      <c r="G270" s="2"/>
      <c r="H270" s="2"/>
      <c r="I270" s="2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7" t="s">
        <v>310</v>
      </c>
    </row>
    <row r="271" spans="1:22" ht="15" x14ac:dyDescent="0.25">
      <c r="A271" s="2"/>
      <c r="B271" s="2"/>
      <c r="C271" s="2"/>
      <c r="D271" s="6"/>
      <c r="E271" s="2"/>
      <c r="F271" s="2"/>
      <c r="G271" s="2"/>
      <c r="H271" s="2"/>
      <c r="I271" s="2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5">
      <c r="A272" s="153" t="s">
        <v>7</v>
      </c>
      <c r="B272" s="153"/>
      <c r="C272" s="153"/>
      <c r="D272" s="154" t="s">
        <v>309</v>
      </c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17"/>
    </row>
    <row r="273" spans="1:24" x14ac:dyDescent="0.25">
      <c r="A273" s="149" t="s">
        <v>311</v>
      </c>
      <c r="B273" s="149"/>
      <c r="C273" s="149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9" t="s">
        <v>8</v>
      </c>
    </row>
    <row r="274" spans="1:24" x14ac:dyDescent="0.25">
      <c r="A274" s="120"/>
      <c r="B274" s="155" t="s">
        <v>10</v>
      </c>
      <c r="C274" s="155"/>
      <c r="D274" s="120" t="s">
        <v>9</v>
      </c>
      <c r="E274" s="120" t="s">
        <v>11</v>
      </c>
      <c r="F274" s="156" t="s">
        <v>12</v>
      </c>
      <c r="G274" s="156"/>
      <c r="H274" s="156"/>
      <c r="I274" s="156"/>
      <c r="J274" s="156"/>
      <c r="K274" s="156"/>
      <c r="L274" s="155" t="s">
        <v>10</v>
      </c>
      <c r="M274" s="155"/>
      <c r="N274" s="120" t="s">
        <v>13</v>
      </c>
      <c r="O274" s="150" t="s">
        <v>14</v>
      </c>
      <c r="P274" s="150"/>
      <c r="Q274" s="150"/>
      <c r="R274" s="150"/>
      <c r="S274" s="150"/>
      <c r="T274" s="150"/>
      <c r="U274" s="121"/>
      <c r="V274" s="119" t="s">
        <v>15</v>
      </c>
    </row>
    <row r="275" spans="1:24" x14ac:dyDescent="0.25">
      <c r="A275" s="119" t="s">
        <v>16</v>
      </c>
      <c r="B275" s="149" t="s">
        <v>17</v>
      </c>
      <c r="C275" s="149"/>
      <c r="D275" s="119" t="s">
        <v>16</v>
      </c>
      <c r="E275" s="119" t="s">
        <v>18</v>
      </c>
      <c r="F275" s="118"/>
      <c r="G275" s="118"/>
      <c r="H275" s="118"/>
      <c r="I275" s="118"/>
      <c r="J275" s="118"/>
      <c r="K275" s="118"/>
      <c r="L275" s="149" t="s">
        <v>17</v>
      </c>
      <c r="M275" s="149"/>
      <c r="N275" s="119" t="s">
        <v>19</v>
      </c>
      <c r="O275" s="150" t="s">
        <v>20</v>
      </c>
      <c r="P275" s="150"/>
      <c r="Q275" s="150"/>
      <c r="R275" s="150"/>
      <c r="S275" s="150"/>
      <c r="T275" s="122" t="s">
        <v>21</v>
      </c>
      <c r="U275" s="123" t="s">
        <v>22</v>
      </c>
      <c r="V275" s="119" t="s">
        <v>23</v>
      </c>
    </row>
    <row r="276" spans="1:24" x14ac:dyDescent="0.25">
      <c r="A276" s="119" t="s">
        <v>24</v>
      </c>
      <c r="B276" s="120" t="s">
        <v>25</v>
      </c>
      <c r="C276" s="120" t="s">
        <v>26</v>
      </c>
      <c r="D276" s="119" t="s">
        <v>24</v>
      </c>
      <c r="E276" s="119" t="s">
        <v>27</v>
      </c>
      <c r="F276" s="120" t="s">
        <v>28</v>
      </c>
      <c r="G276" s="124" t="s">
        <v>29</v>
      </c>
      <c r="H276" s="124"/>
      <c r="I276" s="124" t="s">
        <v>30</v>
      </c>
      <c r="J276" s="124" t="s">
        <v>31</v>
      </c>
      <c r="K276" s="124" t="s">
        <v>305</v>
      </c>
      <c r="L276" s="120" t="s">
        <v>32</v>
      </c>
      <c r="M276" s="125" t="s">
        <v>33</v>
      </c>
      <c r="N276" s="119" t="s">
        <v>34</v>
      </c>
      <c r="O276" s="120" t="s">
        <v>28</v>
      </c>
      <c r="P276" s="120" t="s">
        <v>29</v>
      </c>
      <c r="Q276" s="124" t="s">
        <v>31</v>
      </c>
      <c r="R276" s="124" t="s">
        <v>305</v>
      </c>
      <c r="S276" s="124" t="s">
        <v>35</v>
      </c>
      <c r="T276" s="120" t="s">
        <v>36</v>
      </c>
      <c r="U276" s="123" t="s">
        <v>37</v>
      </c>
      <c r="V276" s="126"/>
    </row>
    <row r="277" spans="1:24" x14ac:dyDescent="0.25">
      <c r="A277" s="127"/>
      <c r="B277" s="127"/>
      <c r="C277" s="127"/>
      <c r="D277" s="127"/>
      <c r="E277" s="127"/>
      <c r="F277" s="127" t="s">
        <v>38</v>
      </c>
      <c r="G277" s="128" t="s">
        <v>39</v>
      </c>
      <c r="H277" s="128"/>
      <c r="I277" s="128" t="s">
        <v>40</v>
      </c>
      <c r="J277" s="128" t="s">
        <v>41</v>
      </c>
      <c r="K277" s="128" t="s">
        <v>306</v>
      </c>
      <c r="L277" s="127"/>
      <c r="M277" s="129"/>
      <c r="N277" s="127"/>
      <c r="O277" s="127" t="s">
        <v>38</v>
      </c>
      <c r="P277" s="127" t="s">
        <v>39</v>
      </c>
      <c r="Q277" s="128" t="s">
        <v>41</v>
      </c>
      <c r="R277" s="128" t="s">
        <v>306</v>
      </c>
      <c r="S277" s="128" t="s">
        <v>42</v>
      </c>
      <c r="T277" s="127" t="s">
        <v>43</v>
      </c>
      <c r="U277" s="130"/>
      <c r="V277" s="131"/>
    </row>
    <row r="278" spans="1:24" x14ac:dyDescent="0.25">
      <c r="A278" s="8"/>
      <c r="B278" s="9"/>
      <c r="C278" s="10"/>
      <c r="D278" s="10"/>
      <c r="E278" s="11"/>
      <c r="F278" s="11"/>
      <c r="G278" s="11"/>
      <c r="H278" s="11"/>
      <c r="I278" s="11"/>
      <c r="J278" s="11"/>
      <c r="K278" s="10"/>
      <c r="L278" s="9"/>
      <c r="M278" s="10"/>
      <c r="N278" s="9"/>
      <c r="O278" s="10"/>
      <c r="P278" s="10"/>
      <c r="Q278" s="10"/>
      <c r="R278" s="10"/>
      <c r="S278" s="10"/>
      <c r="T278" s="10"/>
      <c r="U278" s="10"/>
      <c r="V278" s="11"/>
    </row>
    <row r="279" spans="1:24" x14ac:dyDescent="0.25">
      <c r="A279" s="12"/>
      <c r="B279" s="13"/>
      <c r="C279" s="14"/>
      <c r="D279" s="67" t="s">
        <v>149</v>
      </c>
      <c r="E279" s="17"/>
      <c r="F279" s="17"/>
      <c r="G279" s="17"/>
      <c r="H279" s="17"/>
      <c r="I279" s="19"/>
      <c r="J279" s="19"/>
      <c r="K279" s="14"/>
      <c r="L279" s="13"/>
      <c r="M279" s="14"/>
      <c r="N279" s="13"/>
      <c r="O279" s="14"/>
      <c r="P279" s="14"/>
      <c r="Q279" s="14"/>
      <c r="R279" s="14"/>
      <c r="S279" s="14"/>
      <c r="T279" s="14"/>
      <c r="U279" s="14"/>
      <c r="V279" s="19"/>
    </row>
    <row r="280" spans="1:24" x14ac:dyDescent="0.25">
      <c r="A280" s="31" t="s">
        <v>98</v>
      </c>
      <c r="B280" s="22">
        <v>1</v>
      </c>
      <c r="C280" s="23">
        <v>1</v>
      </c>
      <c r="D280" s="32" t="s">
        <v>98</v>
      </c>
      <c r="E280" s="83">
        <v>1</v>
      </c>
      <c r="F280" s="24">
        <v>36.53</v>
      </c>
      <c r="G280" s="24">
        <f>664.5+H280</f>
        <v>754.5</v>
      </c>
      <c r="H280" s="24">
        <v>90</v>
      </c>
      <c r="I280" s="25">
        <f>F280+G280-H280</f>
        <v>701.03</v>
      </c>
      <c r="J280" s="91">
        <v>1840</v>
      </c>
      <c r="K280" s="97">
        <v>571.58000000000004</v>
      </c>
      <c r="L280" s="13">
        <v>1</v>
      </c>
      <c r="M280" s="23">
        <v>1</v>
      </c>
      <c r="N280" s="13">
        <v>12</v>
      </c>
      <c r="O280" s="27">
        <f>+F280*L280*N280</f>
        <v>438.36</v>
      </c>
      <c r="P280" s="27">
        <f>G280*L280*N280</f>
        <v>9054</v>
      </c>
      <c r="Q280" s="27">
        <f>J280*L280*N280</f>
        <v>22080</v>
      </c>
      <c r="R280" s="27">
        <f>K280*L280*N280</f>
        <v>6858.9600000000009</v>
      </c>
      <c r="S280" s="28">
        <f>IF(I280&lt;650,650*0.09,IF(I280&gt;650,I280*0.09))*12</f>
        <v>757.11239999999998</v>
      </c>
      <c r="T280" s="26">
        <f>400+600+(600*0.09)*L280</f>
        <v>1054</v>
      </c>
      <c r="U280" s="26">
        <f>SUM(O280:T280)</f>
        <v>40242.432399999998</v>
      </c>
      <c r="V280" s="37" t="s">
        <v>218</v>
      </c>
    </row>
    <row r="281" spans="1:24" x14ac:dyDescent="0.25">
      <c r="A281" s="31" t="s">
        <v>68</v>
      </c>
      <c r="B281" s="22">
        <v>1</v>
      </c>
      <c r="C281" s="23">
        <v>1</v>
      </c>
      <c r="D281" s="32" t="s">
        <v>68</v>
      </c>
      <c r="E281" s="32">
        <v>2</v>
      </c>
      <c r="F281" s="24">
        <v>23.86</v>
      </c>
      <c r="G281" s="24">
        <f>522.37+H281</f>
        <v>562.37</v>
      </c>
      <c r="H281" s="24">
        <v>40</v>
      </c>
      <c r="I281" s="47">
        <f>F281+G281-H281</f>
        <v>546.23</v>
      </c>
      <c r="J281" s="96">
        <v>1400</v>
      </c>
      <c r="K281" s="80">
        <v>568.5</v>
      </c>
      <c r="L281" s="23">
        <v>1</v>
      </c>
      <c r="M281" s="23">
        <v>1</v>
      </c>
      <c r="N281" s="23">
        <v>12</v>
      </c>
      <c r="O281" s="27">
        <f>+F281*L281*N281</f>
        <v>286.32</v>
      </c>
      <c r="P281" s="27">
        <f>G281*L281*N281</f>
        <v>6748.4400000000005</v>
      </c>
      <c r="Q281" s="27">
        <f>J281*L281*N281</f>
        <v>16800</v>
      </c>
      <c r="R281" s="27">
        <f>K281*L281*N281</f>
        <v>6822</v>
      </c>
      <c r="S281" s="41">
        <f>IF(I281&lt;650,650*0.09,IF(I281&gt;650,I281*0.09))*12</f>
        <v>702</v>
      </c>
      <c r="T281" s="26">
        <f>400+600+(600*0.09)*L281</f>
        <v>1054</v>
      </c>
      <c r="U281" s="26">
        <f>SUM(O281:T281)</f>
        <v>32412.760000000002</v>
      </c>
      <c r="V281" s="49" t="s">
        <v>103</v>
      </c>
    </row>
    <row r="282" spans="1:24" x14ac:dyDescent="0.25">
      <c r="A282" s="31" t="s">
        <v>55</v>
      </c>
      <c r="B282" s="22">
        <v>1</v>
      </c>
      <c r="C282" s="23">
        <v>1</v>
      </c>
      <c r="D282" s="32" t="s">
        <v>55</v>
      </c>
      <c r="E282" s="83">
        <v>3</v>
      </c>
      <c r="F282" s="24">
        <v>23.99</v>
      </c>
      <c r="G282" s="24">
        <f>518.84+H282</f>
        <v>563.84</v>
      </c>
      <c r="H282" s="24">
        <v>45</v>
      </c>
      <c r="I282" s="47">
        <f>F282+G282-H282</f>
        <v>542.83000000000004</v>
      </c>
      <c r="J282" s="96">
        <v>1400</v>
      </c>
      <c r="K282" s="80">
        <v>568.5</v>
      </c>
      <c r="L282" s="22">
        <v>1</v>
      </c>
      <c r="M282" s="23">
        <v>1</v>
      </c>
      <c r="N282" s="23">
        <v>12</v>
      </c>
      <c r="O282" s="27">
        <f>+F282*L282*N282</f>
        <v>287.88</v>
      </c>
      <c r="P282" s="35">
        <f>G282*L282*N282</f>
        <v>6766.08</v>
      </c>
      <c r="Q282" s="27">
        <f>J282*L282*N282</f>
        <v>16800</v>
      </c>
      <c r="R282" s="27">
        <f>K282*L282*N282</f>
        <v>6822</v>
      </c>
      <c r="S282" s="41">
        <f>IF(I282&lt;650,650*0.09,IF(I282&gt;650,I282*0.09))*12</f>
        <v>702</v>
      </c>
      <c r="T282" s="26">
        <f>400+600+(600*0.09)*L282</f>
        <v>1054</v>
      </c>
      <c r="U282" s="26">
        <f>SUM(O282:T282)</f>
        <v>32431.96</v>
      </c>
      <c r="V282" s="37" t="s">
        <v>57</v>
      </c>
    </row>
    <row r="283" spans="1:24" x14ac:dyDescent="0.25">
      <c r="A283" s="31" t="s">
        <v>58</v>
      </c>
      <c r="B283" s="22">
        <v>1</v>
      </c>
      <c r="C283" s="23">
        <v>0</v>
      </c>
      <c r="D283" s="32"/>
      <c r="E283" s="83"/>
      <c r="F283" s="24"/>
      <c r="G283" s="24"/>
      <c r="H283" s="24"/>
      <c r="I283" s="40"/>
      <c r="J283" s="96"/>
      <c r="K283" s="80"/>
      <c r="L283" s="22"/>
      <c r="M283" s="23"/>
      <c r="N283" s="23"/>
      <c r="O283" s="27"/>
      <c r="P283" s="35"/>
      <c r="Q283" s="27"/>
      <c r="R283" s="27"/>
      <c r="S283" s="41"/>
      <c r="T283" s="26"/>
      <c r="U283" s="26"/>
      <c r="V283" s="37"/>
      <c r="X283" s="136" t="s">
        <v>232</v>
      </c>
    </row>
    <row r="284" spans="1:24" x14ac:dyDescent="0.25">
      <c r="A284" s="21"/>
      <c r="B284" s="22"/>
      <c r="C284" s="23"/>
      <c r="D284" s="29"/>
      <c r="E284" s="18"/>
      <c r="F284" s="18"/>
      <c r="G284" s="18"/>
      <c r="H284" s="18"/>
      <c r="I284" s="18"/>
      <c r="J284" s="96"/>
      <c r="K284" s="80"/>
      <c r="L284" s="22"/>
      <c r="M284" s="23"/>
      <c r="N284" s="48"/>
      <c r="O284" s="26"/>
      <c r="P284" s="26"/>
      <c r="Q284" s="26"/>
      <c r="R284" s="26"/>
      <c r="S284" s="26"/>
      <c r="T284" s="26"/>
      <c r="U284" s="26"/>
      <c r="V284" s="29"/>
    </row>
    <row r="285" spans="1:24" x14ac:dyDescent="0.25">
      <c r="A285" s="21"/>
      <c r="B285" s="22"/>
      <c r="C285" s="23"/>
      <c r="D285" s="68" t="s">
        <v>150</v>
      </c>
      <c r="E285" s="16"/>
      <c r="F285" s="17"/>
      <c r="G285" s="18"/>
      <c r="H285" s="18"/>
      <c r="I285" s="18"/>
      <c r="J285" s="96"/>
      <c r="K285" s="80"/>
      <c r="L285" s="22"/>
      <c r="M285" s="23"/>
      <c r="N285" s="48"/>
      <c r="O285" s="26"/>
      <c r="P285" s="26"/>
      <c r="Q285" s="26"/>
      <c r="R285" s="26"/>
      <c r="S285" s="26"/>
      <c r="T285" s="26"/>
      <c r="U285" s="26"/>
      <c r="V285" s="29"/>
    </row>
    <row r="286" spans="1:24" x14ac:dyDescent="0.25">
      <c r="A286" s="31" t="s">
        <v>65</v>
      </c>
      <c r="B286" s="22">
        <v>1</v>
      </c>
      <c r="C286" s="22">
        <v>1</v>
      </c>
      <c r="D286" s="32" t="s">
        <v>65</v>
      </c>
      <c r="E286" s="83">
        <v>4</v>
      </c>
      <c r="F286" s="24">
        <v>80.039999999999992</v>
      </c>
      <c r="G286" s="24">
        <f>807.57+H286</f>
        <v>837.57</v>
      </c>
      <c r="H286" s="24">
        <v>30</v>
      </c>
      <c r="I286" s="40">
        <f>F286+G286-H286</f>
        <v>887.61</v>
      </c>
      <c r="J286" s="95">
        <v>1580</v>
      </c>
      <c r="K286" s="80">
        <v>838.5</v>
      </c>
      <c r="L286" s="22">
        <v>1</v>
      </c>
      <c r="M286" s="22">
        <v>1</v>
      </c>
      <c r="N286" s="23">
        <v>12</v>
      </c>
      <c r="O286" s="27">
        <f>+F286*L286*N286</f>
        <v>960.4799999999999</v>
      </c>
      <c r="P286" s="35">
        <f>G286*L286*N286</f>
        <v>10050.84</v>
      </c>
      <c r="Q286" s="27">
        <f>J286*L286*N286</f>
        <v>18960</v>
      </c>
      <c r="R286" s="27">
        <f>K286*L286*N286</f>
        <v>10062</v>
      </c>
      <c r="S286" s="41">
        <f>IF(I286&lt;650,650*0.09,IF(I286&gt;650,I286*0.09))*12</f>
        <v>958.61879999999996</v>
      </c>
      <c r="T286" s="26">
        <f>400+600+(600*0.09)*L286</f>
        <v>1054</v>
      </c>
      <c r="U286" s="26">
        <f>SUM(O286:T286)</f>
        <v>42045.938799999996</v>
      </c>
      <c r="V286" s="36" t="s">
        <v>151</v>
      </c>
    </row>
    <row r="287" spans="1:24" x14ac:dyDescent="0.25">
      <c r="A287" s="31"/>
      <c r="B287" s="22"/>
      <c r="C287" s="22"/>
      <c r="D287" s="32"/>
      <c r="E287" s="45"/>
      <c r="F287" s="24"/>
      <c r="G287" s="24"/>
      <c r="H287" s="24"/>
      <c r="I287" s="47"/>
      <c r="J287" s="95"/>
      <c r="K287" s="80"/>
      <c r="L287" s="22"/>
      <c r="M287" s="22"/>
      <c r="N287" s="23"/>
      <c r="O287" s="27"/>
      <c r="P287" s="35"/>
      <c r="Q287" s="27"/>
      <c r="R287" s="27"/>
      <c r="S287" s="41"/>
      <c r="T287" s="26"/>
      <c r="U287" s="26"/>
      <c r="V287" s="37"/>
    </row>
    <row r="288" spans="1:24" x14ac:dyDescent="0.25">
      <c r="A288" s="21"/>
      <c r="B288" s="22"/>
      <c r="C288" s="23"/>
      <c r="D288" s="68" t="s">
        <v>152</v>
      </c>
      <c r="E288" s="16"/>
      <c r="F288" s="17"/>
      <c r="G288" s="26"/>
      <c r="H288" s="26"/>
      <c r="I288" s="26"/>
      <c r="J288" s="95"/>
      <c r="K288" s="80"/>
      <c r="L288" s="22"/>
      <c r="M288" s="23"/>
      <c r="N288" s="48"/>
      <c r="O288" s="26"/>
      <c r="P288" s="26"/>
      <c r="Q288" s="26"/>
      <c r="R288" s="26"/>
      <c r="S288" s="26"/>
      <c r="T288" s="26"/>
      <c r="U288" s="26"/>
      <c r="V288" s="29"/>
    </row>
    <row r="289" spans="1:22" x14ac:dyDescent="0.25">
      <c r="A289" s="31" t="s">
        <v>55</v>
      </c>
      <c r="B289" s="22">
        <v>1</v>
      </c>
      <c r="C289" s="23">
        <v>1</v>
      </c>
      <c r="D289" s="32" t="s">
        <v>55</v>
      </c>
      <c r="E289" s="32">
        <v>5</v>
      </c>
      <c r="F289" s="24">
        <v>23.99</v>
      </c>
      <c r="G289" s="24">
        <f>523.94+H289</f>
        <v>568.94000000000005</v>
      </c>
      <c r="H289" s="24">
        <v>45</v>
      </c>
      <c r="I289" s="25">
        <f t="shared" ref="I289:I296" si="49">F289+G289-H289</f>
        <v>547.93000000000006</v>
      </c>
      <c r="J289" s="96">
        <v>1400</v>
      </c>
      <c r="K289" s="80">
        <v>568.5</v>
      </c>
      <c r="L289" s="13">
        <v>1</v>
      </c>
      <c r="M289" s="23">
        <v>1</v>
      </c>
      <c r="N289" s="13">
        <v>12</v>
      </c>
      <c r="O289" s="27">
        <f t="shared" ref="O289:O296" si="50">+F289*L289*N289</f>
        <v>287.88</v>
      </c>
      <c r="P289" s="27">
        <f t="shared" ref="P289:P295" si="51">G289*L289*N289</f>
        <v>6827.2800000000007</v>
      </c>
      <c r="Q289" s="27">
        <f t="shared" ref="Q289:Q295" si="52">J289*L289*N289</f>
        <v>16800</v>
      </c>
      <c r="R289" s="27">
        <f t="shared" ref="R289:R295" si="53">K289*L289*N289</f>
        <v>6822</v>
      </c>
      <c r="S289" s="28">
        <f t="shared" ref="S289:S295" si="54">IF(I289&lt;650,650*0.09,IF(I289&gt;650,I289*0.09))*12</f>
        <v>702</v>
      </c>
      <c r="T289" s="26">
        <f t="shared" ref="T289:T295" si="55">400+600+(600*0.09)*L289</f>
        <v>1054</v>
      </c>
      <c r="U289" s="26">
        <f t="shared" ref="U289:U295" si="56">SUM(O289:T289)</f>
        <v>32493.16</v>
      </c>
      <c r="V289" s="37" t="s">
        <v>191</v>
      </c>
    </row>
    <row r="290" spans="1:22" x14ac:dyDescent="0.25">
      <c r="A290" s="31" t="s">
        <v>55</v>
      </c>
      <c r="B290" s="22">
        <v>1</v>
      </c>
      <c r="C290" s="23">
        <v>1</v>
      </c>
      <c r="D290" s="32" t="s">
        <v>55</v>
      </c>
      <c r="E290" s="32">
        <v>6</v>
      </c>
      <c r="F290" s="24">
        <v>23.99</v>
      </c>
      <c r="G290" s="24">
        <f>523.94+H290</f>
        <v>568.94000000000005</v>
      </c>
      <c r="H290" s="24">
        <v>45</v>
      </c>
      <c r="I290" s="25">
        <f t="shared" si="49"/>
        <v>547.93000000000006</v>
      </c>
      <c r="J290" s="96">
        <v>1400</v>
      </c>
      <c r="K290" s="80">
        <v>568.5</v>
      </c>
      <c r="L290" s="13">
        <v>1</v>
      </c>
      <c r="M290" s="23">
        <v>1</v>
      </c>
      <c r="N290" s="13">
        <v>12</v>
      </c>
      <c r="O290" s="27">
        <f t="shared" si="50"/>
        <v>287.88</v>
      </c>
      <c r="P290" s="27">
        <f t="shared" si="51"/>
        <v>6827.2800000000007</v>
      </c>
      <c r="Q290" s="27">
        <f t="shared" si="52"/>
        <v>16800</v>
      </c>
      <c r="R290" s="27">
        <f t="shared" si="53"/>
        <v>6822</v>
      </c>
      <c r="S290" s="28">
        <f t="shared" si="54"/>
        <v>702</v>
      </c>
      <c r="T290" s="26">
        <f t="shared" si="55"/>
        <v>1054</v>
      </c>
      <c r="U290" s="26">
        <f t="shared" si="56"/>
        <v>32493.16</v>
      </c>
      <c r="V290" s="37" t="s">
        <v>191</v>
      </c>
    </row>
    <row r="291" spans="1:22" x14ac:dyDescent="0.25">
      <c r="A291" s="31" t="s">
        <v>68</v>
      </c>
      <c r="B291" s="22">
        <v>1</v>
      </c>
      <c r="C291" s="23">
        <v>1</v>
      </c>
      <c r="D291" s="32" t="s">
        <v>68</v>
      </c>
      <c r="E291" s="32">
        <v>7</v>
      </c>
      <c r="F291" s="24">
        <v>23.86</v>
      </c>
      <c r="G291" s="24">
        <f>516.3+H291</f>
        <v>556.29999999999995</v>
      </c>
      <c r="H291" s="24">
        <v>40</v>
      </c>
      <c r="I291" s="25">
        <f t="shared" si="49"/>
        <v>540.16</v>
      </c>
      <c r="J291" s="96">
        <v>1400</v>
      </c>
      <c r="K291" s="80">
        <v>568.5</v>
      </c>
      <c r="L291" s="22">
        <v>1</v>
      </c>
      <c r="M291" s="23">
        <v>1</v>
      </c>
      <c r="N291" s="13">
        <v>12</v>
      </c>
      <c r="O291" s="27">
        <f t="shared" si="50"/>
        <v>286.32</v>
      </c>
      <c r="P291" s="35">
        <f t="shared" si="51"/>
        <v>6675.5999999999995</v>
      </c>
      <c r="Q291" s="27">
        <f t="shared" si="52"/>
        <v>16800</v>
      </c>
      <c r="R291" s="27">
        <f t="shared" si="53"/>
        <v>6822</v>
      </c>
      <c r="S291" s="28">
        <f t="shared" si="54"/>
        <v>702</v>
      </c>
      <c r="T291" s="26">
        <f t="shared" si="55"/>
        <v>1054</v>
      </c>
      <c r="U291" s="26">
        <f t="shared" si="56"/>
        <v>32339.919999999998</v>
      </c>
      <c r="V291" s="37" t="s">
        <v>191</v>
      </c>
    </row>
    <row r="292" spans="1:22" x14ac:dyDescent="0.25">
      <c r="A292" s="31" t="s">
        <v>68</v>
      </c>
      <c r="B292" s="22">
        <v>1</v>
      </c>
      <c r="C292" s="23">
        <v>1</v>
      </c>
      <c r="D292" s="32" t="s">
        <v>68</v>
      </c>
      <c r="E292" s="32">
        <v>8</v>
      </c>
      <c r="F292" s="24">
        <v>23.86</v>
      </c>
      <c r="G292" s="24">
        <f>516.3+H292</f>
        <v>556.29999999999995</v>
      </c>
      <c r="H292" s="24">
        <v>40</v>
      </c>
      <c r="I292" s="33">
        <f t="shared" si="49"/>
        <v>540.16</v>
      </c>
      <c r="J292" s="96">
        <v>1400</v>
      </c>
      <c r="K292" s="80">
        <v>568.5</v>
      </c>
      <c r="L292" s="22">
        <v>1</v>
      </c>
      <c r="M292" s="23">
        <v>1</v>
      </c>
      <c r="N292" s="13">
        <v>12</v>
      </c>
      <c r="O292" s="27">
        <f t="shared" si="50"/>
        <v>286.32</v>
      </c>
      <c r="P292" s="35">
        <f t="shared" si="51"/>
        <v>6675.5999999999995</v>
      </c>
      <c r="Q292" s="27">
        <f t="shared" si="52"/>
        <v>16800</v>
      </c>
      <c r="R292" s="27">
        <f t="shared" si="53"/>
        <v>6822</v>
      </c>
      <c r="S292" s="28">
        <f t="shared" si="54"/>
        <v>702</v>
      </c>
      <c r="T292" s="26">
        <f t="shared" si="55"/>
        <v>1054</v>
      </c>
      <c r="U292" s="26">
        <f t="shared" si="56"/>
        <v>32339.919999999998</v>
      </c>
      <c r="V292" s="37" t="s">
        <v>191</v>
      </c>
    </row>
    <row r="293" spans="1:22" x14ac:dyDescent="0.25">
      <c r="A293" s="31" t="s">
        <v>192</v>
      </c>
      <c r="B293" s="22">
        <v>1</v>
      </c>
      <c r="C293" s="22">
        <v>1</v>
      </c>
      <c r="D293" s="32" t="s">
        <v>192</v>
      </c>
      <c r="E293" s="32">
        <v>9</v>
      </c>
      <c r="F293" s="24">
        <v>23.38</v>
      </c>
      <c r="G293" s="24">
        <f>488.3+H293</f>
        <v>518.29999999999995</v>
      </c>
      <c r="H293" s="24">
        <v>30</v>
      </c>
      <c r="I293" s="33">
        <f t="shared" si="49"/>
        <v>511.67999999999995</v>
      </c>
      <c r="J293" s="96">
        <v>1400</v>
      </c>
      <c r="K293" s="80">
        <v>568.5</v>
      </c>
      <c r="L293" s="22">
        <v>1</v>
      </c>
      <c r="M293" s="22">
        <v>1</v>
      </c>
      <c r="N293" s="13">
        <v>12</v>
      </c>
      <c r="O293" s="27">
        <f t="shared" si="50"/>
        <v>280.56</v>
      </c>
      <c r="P293" s="35">
        <f t="shared" si="51"/>
        <v>6219.5999999999995</v>
      </c>
      <c r="Q293" s="27">
        <f t="shared" si="52"/>
        <v>16800</v>
      </c>
      <c r="R293" s="27">
        <f t="shared" si="53"/>
        <v>6822</v>
      </c>
      <c r="S293" s="28">
        <f t="shared" si="54"/>
        <v>702</v>
      </c>
      <c r="T293" s="26">
        <f t="shared" si="55"/>
        <v>1054</v>
      </c>
      <c r="U293" s="26">
        <f t="shared" si="56"/>
        <v>31878.16</v>
      </c>
      <c r="V293" s="37" t="s">
        <v>191</v>
      </c>
    </row>
    <row r="294" spans="1:22" x14ac:dyDescent="0.25">
      <c r="A294" s="31" t="s">
        <v>192</v>
      </c>
      <c r="B294" s="22">
        <v>1</v>
      </c>
      <c r="C294" s="23">
        <v>1</v>
      </c>
      <c r="D294" s="32" t="s">
        <v>192</v>
      </c>
      <c r="E294" s="32">
        <v>10</v>
      </c>
      <c r="F294" s="24">
        <v>23.38</v>
      </c>
      <c r="G294" s="24">
        <f>488.3+H294</f>
        <v>518.29999999999995</v>
      </c>
      <c r="H294" s="24">
        <v>30</v>
      </c>
      <c r="I294" s="25">
        <f t="shared" si="49"/>
        <v>511.67999999999995</v>
      </c>
      <c r="J294" s="96">
        <v>1400</v>
      </c>
      <c r="K294" s="80">
        <v>568.5</v>
      </c>
      <c r="L294" s="22">
        <v>1</v>
      </c>
      <c r="M294" s="23">
        <v>1</v>
      </c>
      <c r="N294" s="13">
        <v>12</v>
      </c>
      <c r="O294" s="27">
        <f t="shared" si="50"/>
        <v>280.56</v>
      </c>
      <c r="P294" s="35">
        <f t="shared" si="51"/>
        <v>6219.5999999999995</v>
      </c>
      <c r="Q294" s="27">
        <f t="shared" si="52"/>
        <v>16800</v>
      </c>
      <c r="R294" s="27">
        <f t="shared" si="53"/>
        <v>6822</v>
      </c>
      <c r="S294" s="28">
        <f t="shared" si="54"/>
        <v>702</v>
      </c>
      <c r="T294" s="26">
        <f t="shared" si="55"/>
        <v>1054</v>
      </c>
      <c r="U294" s="26">
        <f t="shared" si="56"/>
        <v>31878.16</v>
      </c>
      <c r="V294" s="37" t="s">
        <v>191</v>
      </c>
    </row>
    <row r="295" spans="1:22" x14ac:dyDescent="0.25">
      <c r="A295" s="31" t="s">
        <v>153</v>
      </c>
      <c r="B295" s="22">
        <v>1</v>
      </c>
      <c r="C295" s="23">
        <v>1</v>
      </c>
      <c r="D295" s="32" t="s">
        <v>153</v>
      </c>
      <c r="E295" s="32">
        <v>11</v>
      </c>
      <c r="F295" s="24">
        <v>23.38</v>
      </c>
      <c r="G295" s="24">
        <f>493.3+H295</f>
        <v>523.29999999999995</v>
      </c>
      <c r="H295" s="24">
        <v>30</v>
      </c>
      <c r="I295" s="25">
        <f t="shared" si="49"/>
        <v>516.67999999999995</v>
      </c>
      <c r="J295" s="96">
        <v>1400</v>
      </c>
      <c r="K295" s="80">
        <v>568.5</v>
      </c>
      <c r="L295" s="22">
        <v>1</v>
      </c>
      <c r="M295" s="23">
        <v>1</v>
      </c>
      <c r="N295" s="13">
        <v>12</v>
      </c>
      <c r="O295" s="27">
        <f t="shared" si="50"/>
        <v>280.56</v>
      </c>
      <c r="P295" s="35">
        <f t="shared" si="51"/>
        <v>6279.5999999999995</v>
      </c>
      <c r="Q295" s="27">
        <f t="shared" si="52"/>
        <v>16800</v>
      </c>
      <c r="R295" s="27">
        <f t="shared" si="53"/>
        <v>6822</v>
      </c>
      <c r="S295" s="28">
        <f t="shared" si="54"/>
        <v>702</v>
      </c>
      <c r="T295" s="26">
        <f t="shared" si="55"/>
        <v>1054</v>
      </c>
      <c r="U295" s="26">
        <f t="shared" si="56"/>
        <v>31938.16</v>
      </c>
      <c r="V295" s="37" t="s">
        <v>154</v>
      </c>
    </row>
    <row r="296" spans="1:22" x14ac:dyDescent="0.25">
      <c r="A296" s="31" t="s">
        <v>153</v>
      </c>
      <c r="B296" s="22">
        <v>1</v>
      </c>
      <c r="C296" s="23">
        <v>1</v>
      </c>
      <c r="D296" s="32" t="s">
        <v>153</v>
      </c>
      <c r="E296" s="83">
        <v>12</v>
      </c>
      <c r="F296" s="24">
        <v>23.55</v>
      </c>
      <c r="G296" s="24">
        <f>519.18+H296</f>
        <v>549.17999999999995</v>
      </c>
      <c r="H296" s="24">
        <v>30</v>
      </c>
      <c r="I296" s="25">
        <f t="shared" si="49"/>
        <v>542.7299999999999</v>
      </c>
      <c r="J296" s="96">
        <v>1400</v>
      </c>
      <c r="K296" s="80">
        <v>568.5</v>
      </c>
      <c r="L296" s="22">
        <v>1</v>
      </c>
      <c r="M296" s="23">
        <v>1</v>
      </c>
      <c r="N296" s="13">
        <v>12</v>
      </c>
      <c r="O296" s="27">
        <f t="shared" si="50"/>
        <v>282.60000000000002</v>
      </c>
      <c r="P296" s="35">
        <f>G296*L296*N296</f>
        <v>6590.16</v>
      </c>
      <c r="Q296" s="27">
        <f>J296*L296*N296</f>
        <v>16800</v>
      </c>
      <c r="R296" s="27">
        <f>K296*L296*N296</f>
        <v>6822</v>
      </c>
      <c r="S296" s="28">
        <f>IF(I296&lt;650,650*0.09,IF(I296&gt;650,I296*0.09))*12</f>
        <v>702</v>
      </c>
      <c r="T296" s="26">
        <f>400+600+(600*0.09)*L296</f>
        <v>1054</v>
      </c>
      <c r="U296" s="26">
        <f>SUM(O296:T296)</f>
        <v>32250.760000000002</v>
      </c>
      <c r="V296" s="37" t="s">
        <v>154</v>
      </c>
    </row>
    <row r="297" spans="1:22" x14ac:dyDescent="0.25">
      <c r="A297" s="31"/>
      <c r="B297" s="22"/>
      <c r="C297" s="23"/>
      <c r="D297" s="32"/>
      <c r="E297" s="45"/>
      <c r="F297" s="24"/>
      <c r="G297" s="24"/>
      <c r="H297" s="24"/>
      <c r="I297" s="25"/>
      <c r="J297" s="69"/>
      <c r="K297" s="43"/>
      <c r="L297" s="22"/>
      <c r="M297" s="23"/>
      <c r="N297" s="13"/>
      <c r="O297" s="27"/>
      <c r="P297" s="35"/>
      <c r="Q297" s="27"/>
      <c r="R297" s="27"/>
      <c r="S297" s="28"/>
      <c r="T297" s="26"/>
      <c r="U297" s="26"/>
      <c r="V297" s="37"/>
    </row>
    <row r="298" spans="1:22" x14ac:dyDescent="0.25">
      <c r="A298" s="31"/>
      <c r="B298" s="22"/>
      <c r="C298" s="23"/>
      <c r="D298" s="32"/>
      <c r="E298" s="45"/>
      <c r="F298" s="24"/>
      <c r="G298" s="24"/>
      <c r="H298" s="24"/>
      <c r="I298" s="25"/>
      <c r="J298" s="69"/>
      <c r="K298" s="43"/>
      <c r="L298" s="22"/>
      <c r="M298" s="23"/>
      <c r="N298" s="13"/>
      <c r="O298" s="27"/>
      <c r="P298" s="35"/>
      <c r="Q298" s="27"/>
      <c r="R298" s="27"/>
      <c r="S298" s="28"/>
      <c r="T298" s="26"/>
      <c r="U298" s="26"/>
      <c r="V298" s="37"/>
    </row>
    <row r="299" spans="1:22" x14ac:dyDescent="0.25">
      <c r="A299" s="31"/>
      <c r="B299" s="22"/>
      <c r="C299" s="23"/>
      <c r="D299" s="32"/>
      <c r="E299" s="45"/>
      <c r="F299" s="24"/>
      <c r="G299" s="24"/>
      <c r="H299" s="24"/>
      <c r="I299" s="25"/>
      <c r="J299" s="69"/>
      <c r="K299" s="43"/>
      <c r="L299" s="22"/>
      <c r="M299" s="23"/>
      <c r="N299" s="13"/>
      <c r="O299" s="27"/>
      <c r="P299" s="35"/>
      <c r="Q299" s="27"/>
      <c r="R299" s="27"/>
      <c r="S299" s="28"/>
      <c r="T299" s="26"/>
      <c r="U299" s="26"/>
      <c r="V299" s="37"/>
    </row>
    <row r="300" spans="1:22" x14ac:dyDescent="0.25">
      <c r="A300" s="31"/>
      <c r="B300" s="22"/>
      <c r="C300" s="23"/>
      <c r="D300" s="32"/>
      <c r="E300" s="45"/>
      <c r="F300" s="24"/>
      <c r="G300" s="24"/>
      <c r="H300" s="24"/>
      <c r="I300" s="25"/>
      <c r="J300" s="69"/>
      <c r="K300" s="43"/>
      <c r="L300" s="22"/>
      <c r="M300" s="23"/>
      <c r="N300" s="13"/>
      <c r="O300" s="27"/>
      <c r="P300" s="35"/>
      <c r="Q300" s="27"/>
      <c r="R300" s="27"/>
      <c r="S300" s="28"/>
      <c r="T300" s="26"/>
      <c r="U300" s="26"/>
      <c r="V300" s="37"/>
    </row>
    <row r="301" spans="1:22" x14ac:dyDescent="0.25">
      <c r="A301" s="31"/>
      <c r="B301" s="22"/>
      <c r="C301" s="23"/>
      <c r="D301" s="32"/>
      <c r="E301" s="45"/>
      <c r="F301" s="24"/>
      <c r="G301" s="24"/>
      <c r="H301" s="24"/>
      <c r="I301" s="25"/>
      <c r="J301" s="69"/>
      <c r="K301" s="43"/>
      <c r="L301" s="22"/>
      <c r="M301" s="23"/>
      <c r="N301" s="13"/>
      <c r="O301" s="27"/>
      <c r="P301" s="35"/>
      <c r="Q301" s="27"/>
      <c r="R301" s="27"/>
      <c r="S301" s="28"/>
      <c r="T301" s="26"/>
      <c r="U301" s="26"/>
      <c r="V301" s="37"/>
    </row>
    <row r="302" spans="1:22" x14ac:dyDescent="0.25">
      <c r="A302" s="31"/>
      <c r="B302" s="22"/>
      <c r="C302" s="23"/>
      <c r="D302" s="32"/>
      <c r="E302" s="45"/>
      <c r="F302" s="24"/>
      <c r="G302" s="24"/>
      <c r="H302" s="24"/>
      <c r="I302" s="25"/>
      <c r="J302" s="69"/>
      <c r="K302" s="43"/>
      <c r="L302" s="22"/>
      <c r="M302" s="23"/>
      <c r="N302" s="13"/>
      <c r="O302" s="27"/>
      <c r="P302" s="35"/>
      <c r="Q302" s="27"/>
      <c r="R302" s="27"/>
      <c r="S302" s="28"/>
      <c r="T302" s="26"/>
      <c r="U302" s="26"/>
      <c r="V302" s="37"/>
    </row>
    <row r="303" spans="1:22" x14ac:dyDescent="0.25">
      <c r="A303" s="31"/>
      <c r="B303" s="22"/>
      <c r="C303" s="23"/>
      <c r="D303" s="32"/>
      <c r="E303" s="45"/>
      <c r="F303" s="24"/>
      <c r="G303" s="24"/>
      <c r="H303" s="24"/>
      <c r="I303" s="25"/>
      <c r="J303" s="69"/>
      <c r="K303" s="43"/>
      <c r="L303" s="22"/>
      <c r="M303" s="23"/>
      <c r="N303" s="13"/>
      <c r="O303" s="27"/>
      <c r="P303" s="35"/>
      <c r="Q303" s="27"/>
      <c r="R303" s="27"/>
      <c r="S303" s="28"/>
      <c r="T303" s="26"/>
      <c r="U303" s="26"/>
      <c r="V303" s="37"/>
    </row>
    <row r="304" spans="1:22" x14ac:dyDescent="0.25">
      <c r="A304" s="31"/>
      <c r="B304" s="22"/>
      <c r="C304" s="23"/>
      <c r="D304" s="32"/>
      <c r="E304" s="45"/>
      <c r="F304" s="24"/>
      <c r="G304" s="24"/>
      <c r="H304" s="24"/>
      <c r="I304" s="25"/>
      <c r="J304" s="69"/>
      <c r="K304" s="43"/>
      <c r="L304" s="22"/>
      <c r="M304" s="23"/>
      <c r="N304" s="13"/>
      <c r="O304" s="27"/>
      <c r="P304" s="35"/>
      <c r="Q304" s="27"/>
      <c r="R304" s="27"/>
      <c r="S304" s="28"/>
      <c r="T304" s="26"/>
      <c r="U304" s="26"/>
      <c r="V304" s="37"/>
    </row>
    <row r="305" spans="1:22" x14ac:dyDescent="0.25">
      <c r="A305" s="31"/>
      <c r="B305" s="22"/>
      <c r="C305" s="23"/>
      <c r="D305" s="32"/>
      <c r="E305" s="45"/>
      <c r="F305" s="24"/>
      <c r="G305" s="24"/>
      <c r="H305" s="24"/>
      <c r="I305" s="25"/>
      <c r="J305" s="69"/>
      <c r="K305" s="43"/>
      <c r="L305" s="22"/>
      <c r="M305" s="23"/>
      <c r="N305" s="13"/>
      <c r="O305" s="27"/>
      <c r="P305" s="35"/>
      <c r="Q305" s="27"/>
      <c r="R305" s="27"/>
      <c r="S305" s="28"/>
      <c r="T305" s="26"/>
      <c r="U305" s="26"/>
      <c r="V305" s="37"/>
    </row>
    <row r="306" spans="1:22" x14ac:dyDescent="0.25">
      <c r="A306" s="31"/>
      <c r="B306" s="22"/>
      <c r="C306" s="23"/>
      <c r="D306" s="32"/>
      <c r="E306" s="45"/>
      <c r="F306" s="24"/>
      <c r="G306" s="24"/>
      <c r="H306" s="24"/>
      <c r="I306" s="25"/>
      <c r="J306" s="69"/>
      <c r="K306" s="43"/>
      <c r="L306" s="22"/>
      <c r="M306" s="23"/>
      <c r="N306" s="13"/>
      <c r="O306" s="27"/>
      <c r="P306" s="35"/>
      <c r="Q306" s="27"/>
      <c r="R306" s="27"/>
      <c r="S306" s="28"/>
      <c r="T306" s="26"/>
      <c r="U306" s="26"/>
      <c r="V306" s="37"/>
    </row>
    <row r="307" spans="1:22" x14ac:dyDescent="0.25">
      <c r="A307" s="31"/>
      <c r="B307" s="22"/>
      <c r="C307" s="23"/>
      <c r="D307" s="32"/>
      <c r="E307" s="45"/>
      <c r="F307" s="24"/>
      <c r="G307" s="24"/>
      <c r="H307" s="24"/>
      <c r="I307" s="25"/>
      <c r="J307" s="69"/>
      <c r="K307" s="43"/>
      <c r="L307" s="22"/>
      <c r="M307" s="23"/>
      <c r="N307" s="13"/>
      <c r="O307" s="27"/>
      <c r="P307" s="35"/>
      <c r="Q307" s="27"/>
      <c r="R307" s="27"/>
      <c r="S307" s="28"/>
      <c r="T307" s="26"/>
      <c r="U307" s="26"/>
      <c r="V307" s="37"/>
    </row>
    <row r="308" spans="1:22" x14ac:dyDescent="0.25">
      <c r="A308" s="31"/>
      <c r="B308" s="22"/>
      <c r="C308" s="23"/>
      <c r="D308" s="32"/>
      <c r="E308" s="45"/>
      <c r="F308" s="24"/>
      <c r="G308" s="24"/>
      <c r="H308" s="24"/>
      <c r="I308" s="25"/>
      <c r="J308" s="69"/>
      <c r="K308" s="43"/>
      <c r="L308" s="22"/>
      <c r="M308" s="23"/>
      <c r="N308" s="13"/>
      <c r="O308" s="27"/>
      <c r="P308" s="35"/>
      <c r="Q308" s="27"/>
      <c r="R308" s="27"/>
      <c r="S308" s="28"/>
      <c r="T308" s="26"/>
      <c r="U308" s="26"/>
      <c r="V308" s="37"/>
    </row>
    <row r="309" spans="1:22" x14ac:dyDescent="0.25">
      <c r="A309" s="31"/>
      <c r="B309" s="22"/>
      <c r="C309" s="23"/>
      <c r="D309" s="32"/>
      <c r="E309" s="45"/>
      <c r="F309" s="24"/>
      <c r="G309" s="24"/>
      <c r="H309" s="24"/>
      <c r="I309" s="25"/>
      <c r="J309" s="69"/>
      <c r="K309" s="43"/>
      <c r="L309" s="22"/>
      <c r="M309" s="23"/>
      <c r="N309" s="13"/>
      <c r="O309" s="27"/>
      <c r="P309" s="35"/>
      <c r="Q309" s="27"/>
      <c r="R309" s="27"/>
      <c r="S309" s="28"/>
      <c r="T309" s="26"/>
      <c r="U309" s="26"/>
      <c r="V309" s="37"/>
    </row>
    <row r="310" spans="1:22" x14ac:dyDescent="0.25">
      <c r="A310" s="31"/>
      <c r="B310" s="22"/>
      <c r="C310" s="23"/>
      <c r="D310" s="32"/>
      <c r="E310" s="45"/>
      <c r="F310" s="24"/>
      <c r="G310" s="24"/>
      <c r="H310" s="24"/>
      <c r="I310" s="25"/>
      <c r="J310" s="69"/>
      <c r="K310" s="43"/>
      <c r="L310" s="22"/>
      <c r="M310" s="23"/>
      <c r="N310" s="13"/>
      <c r="O310" s="27"/>
      <c r="P310" s="35"/>
      <c r="Q310" s="27"/>
      <c r="R310" s="27"/>
      <c r="S310" s="28"/>
      <c r="T310" s="26"/>
      <c r="U310" s="26"/>
      <c r="V310" s="37"/>
    </row>
    <row r="311" spans="1:22" x14ac:dyDescent="0.25">
      <c r="A311" s="31"/>
      <c r="B311" s="22"/>
      <c r="C311" s="23"/>
      <c r="D311" s="32"/>
      <c r="E311" s="45"/>
      <c r="F311" s="24"/>
      <c r="G311" s="24"/>
      <c r="H311" s="24"/>
      <c r="I311" s="25"/>
      <c r="J311" s="69"/>
      <c r="K311" s="43"/>
      <c r="L311" s="22"/>
      <c r="M311" s="23"/>
      <c r="N311" s="13"/>
      <c r="O311" s="27"/>
      <c r="P311" s="35"/>
      <c r="Q311" s="27"/>
      <c r="R311" s="27"/>
      <c r="S311" s="28"/>
      <c r="T311" s="26"/>
      <c r="U311" s="26"/>
      <c r="V311" s="37"/>
    </row>
    <row r="312" spans="1:22" x14ac:dyDescent="0.25">
      <c r="A312" s="31"/>
      <c r="B312" s="22"/>
      <c r="C312" s="23"/>
      <c r="D312" s="32"/>
      <c r="E312" s="45"/>
      <c r="F312" s="24"/>
      <c r="G312" s="24"/>
      <c r="H312" s="24"/>
      <c r="I312" s="25"/>
      <c r="J312" s="69"/>
      <c r="K312" s="43"/>
      <c r="L312" s="22"/>
      <c r="M312" s="23"/>
      <c r="N312" s="13"/>
      <c r="O312" s="27"/>
      <c r="P312" s="35"/>
      <c r="Q312" s="27"/>
      <c r="R312" s="27"/>
      <c r="S312" s="28"/>
      <c r="T312" s="26"/>
      <c r="U312" s="26"/>
      <c r="V312" s="37"/>
    </row>
    <row r="313" spans="1:22" x14ac:dyDescent="0.25">
      <c r="A313" s="31"/>
      <c r="B313" s="22"/>
      <c r="C313" s="23"/>
      <c r="D313" s="32"/>
      <c r="E313" s="45"/>
      <c r="F313" s="24"/>
      <c r="G313" s="24"/>
      <c r="H313" s="24"/>
      <c r="I313" s="25"/>
      <c r="J313" s="69"/>
      <c r="K313" s="43"/>
      <c r="L313" s="22"/>
      <c r="M313" s="23"/>
      <c r="N313" s="13"/>
      <c r="O313" s="27"/>
      <c r="P313" s="35"/>
      <c r="Q313" s="27"/>
      <c r="R313" s="27"/>
      <c r="S313" s="28"/>
      <c r="T313" s="26"/>
      <c r="U313" s="26"/>
      <c r="V313" s="37"/>
    </row>
    <row r="314" spans="1:22" x14ac:dyDescent="0.25">
      <c r="A314" s="31"/>
      <c r="B314" s="22"/>
      <c r="C314" s="23"/>
      <c r="D314" s="32"/>
      <c r="E314" s="45"/>
      <c r="F314" s="24"/>
      <c r="G314" s="24"/>
      <c r="H314" s="24"/>
      <c r="I314" s="25"/>
      <c r="J314" s="69"/>
      <c r="K314" s="43"/>
      <c r="L314" s="22"/>
      <c r="M314" s="23"/>
      <c r="N314" s="13"/>
      <c r="O314" s="27"/>
      <c r="P314" s="35"/>
      <c r="Q314" s="27"/>
      <c r="R314" s="27"/>
      <c r="S314" s="28"/>
      <c r="T314" s="26"/>
      <c r="U314" s="26"/>
      <c r="V314" s="37"/>
    </row>
    <row r="315" spans="1:22" x14ac:dyDescent="0.25">
      <c r="A315" s="31"/>
      <c r="B315" s="22"/>
      <c r="C315" s="23"/>
      <c r="D315" s="32"/>
      <c r="E315" s="45"/>
      <c r="F315" s="24"/>
      <c r="G315" s="24"/>
      <c r="H315" s="24"/>
      <c r="I315" s="25"/>
      <c r="J315" s="69"/>
      <c r="K315" s="43"/>
      <c r="L315" s="22"/>
      <c r="M315" s="23"/>
      <c r="N315" s="13"/>
      <c r="O315" s="27"/>
      <c r="P315" s="35"/>
      <c r="Q315" s="27"/>
      <c r="R315" s="27"/>
      <c r="S315" s="28"/>
      <c r="T315" s="26"/>
      <c r="U315" s="26"/>
      <c r="V315" s="37"/>
    </row>
    <row r="316" spans="1:22" x14ac:dyDescent="0.25">
      <c r="A316" s="31"/>
      <c r="B316" s="22"/>
      <c r="C316" s="23"/>
      <c r="D316" s="32"/>
      <c r="E316" s="45"/>
      <c r="F316" s="24"/>
      <c r="G316" s="24"/>
      <c r="H316" s="24"/>
      <c r="I316" s="25"/>
      <c r="J316" s="69"/>
      <c r="K316" s="43"/>
      <c r="L316" s="22"/>
      <c r="M316" s="23"/>
      <c r="N316" s="13"/>
      <c r="O316" s="27"/>
      <c r="P316" s="35"/>
      <c r="Q316" s="27"/>
      <c r="R316" s="27"/>
      <c r="S316" s="28"/>
      <c r="T316" s="26"/>
      <c r="U316" s="26"/>
      <c r="V316" s="37"/>
    </row>
    <row r="317" spans="1:22" x14ac:dyDescent="0.25">
      <c r="A317" s="31"/>
      <c r="B317" s="22"/>
      <c r="C317" s="23"/>
      <c r="D317" s="32"/>
      <c r="E317" s="45"/>
      <c r="F317" s="24"/>
      <c r="G317" s="24"/>
      <c r="H317" s="24"/>
      <c r="I317" s="25"/>
      <c r="J317" s="69"/>
      <c r="K317" s="43"/>
      <c r="L317" s="22"/>
      <c r="M317" s="23"/>
      <c r="N317" s="13"/>
      <c r="O317" s="27"/>
      <c r="P317" s="35"/>
      <c r="Q317" s="27"/>
      <c r="R317" s="27"/>
      <c r="S317" s="28"/>
      <c r="T317" s="26"/>
      <c r="U317" s="26"/>
      <c r="V317" s="37"/>
    </row>
    <row r="318" spans="1:22" x14ac:dyDescent="0.25">
      <c r="A318" s="31"/>
      <c r="B318" s="22"/>
      <c r="C318" s="23"/>
      <c r="D318" s="32"/>
      <c r="E318" s="45"/>
      <c r="F318" s="24"/>
      <c r="G318" s="24"/>
      <c r="H318" s="24"/>
      <c r="I318" s="25"/>
      <c r="J318" s="69"/>
      <c r="K318" s="43"/>
      <c r="L318" s="22"/>
      <c r="M318" s="23"/>
      <c r="N318" s="13"/>
      <c r="O318" s="27"/>
      <c r="P318" s="35"/>
      <c r="Q318" s="27"/>
      <c r="R318" s="27"/>
      <c r="S318" s="28"/>
      <c r="T318" s="26"/>
      <c r="U318" s="26"/>
      <c r="V318" s="37"/>
    </row>
    <row r="319" spans="1:22" x14ac:dyDescent="0.25">
      <c r="A319" s="31"/>
      <c r="B319" s="22"/>
      <c r="C319" s="23"/>
      <c r="D319" s="32"/>
      <c r="E319" s="45"/>
      <c r="F319" s="24"/>
      <c r="G319" s="24"/>
      <c r="H319" s="24"/>
      <c r="I319" s="25"/>
      <c r="J319" s="69"/>
      <c r="K319" s="43"/>
      <c r="L319" s="22"/>
      <c r="M319" s="23"/>
      <c r="N319" s="13"/>
      <c r="O319" s="27"/>
      <c r="P319" s="35"/>
      <c r="Q319" s="27"/>
      <c r="R319" s="27"/>
      <c r="S319" s="28"/>
      <c r="T319" s="26"/>
      <c r="U319" s="26"/>
      <c r="V319" s="37"/>
    </row>
    <row r="320" spans="1:22" x14ac:dyDescent="0.25">
      <c r="A320" s="31"/>
      <c r="B320" s="22"/>
      <c r="C320" s="23"/>
      <c r="D320" s="32"/>
      <c r="E320" s="45"/>
      <c r="F320" s="24"/>
      <c r="G320" s="24"/>
      <c r="H320" s="24"/>
      <c r="I320" s="25"/>
      <c r="J320" s="69"/>
      <c r="K320" s="43"/>
      <c r="L320" s="22"/>
      <c r="M320" s="23"/>
      <c r="N320" s="13"/>
      <c r="O320" s="27"/>
      <c r="P320" s="35"/>
      <c r="Q320" s="27"/>
      <c r="R320" s="27"/>
      <c r="S320" s="28"/>
      <c r="T320" s="26"/>
      <c r="U320" s="26"/>
      <c r="V320" s="37"/>
    </row>
    <row r="321" spans="1:22" x14ac:dyDescent="0.25">
      <c r="A321" s="31"/>
      <c r="B321" s="22"/>
      <c r="C321" s="23"/>
      <c r="D321" s="32"/>
      <c r="E321" s="45"/>
      <c r="F321" s="24"/>
      <c r="G321" s="24"/>
      <c r="H321" s="24"/>
      <c r="I321" s="25"/>
      <c r="J321" s="69"/>
      <c r="K321" s="43"/>
      <c r="L321" s="22"/>
      <c r="M321" s="23"/>
      <c r="N321" s="13"/>
      <c r="O321" s="27"/>
      <c r="P321" s="35"/>
      <c r="Q321" s="27"/>
      <c r="R321" s="27"/>
      <c r="S321" s="28"/>
      <c r="T321" s="26"/>
      <c r="U321" s="26"/>
      <c r="V321" s="37"/>
    </row>
    <row r="322" spans="1:22" x14ac:dyDescent="0.25">
      <c r="A322" s="31"/>
      <c r="B322" s="22"/>
      <c r="C322" s="23"/>
      <c r="D322" s="32"/>
      <c r="E322" s="45"/>
      <c r="F322" s="24"/>
      <c r="G322" s="24"/>
      <c r="H322" s="24"/>
      <c r="I322" s="25"/>
      <c r="J322" s="69"/>
      <c r="K322" s="43"/>
      <c r="L322" s="22"/>
      <c r="M322" s="23"/>
      <c r="N322" s="13"/>
      <c r="O322" s="27"/>
      <c r="P322" s="35"/>
      <c r="Q322" s="27"/>
      <c r="R322" s="27"/>
      <c r="S322" s="28"/>
      <c r="T322" s="26"/>
      <c r="U322" s="26"/>
      <c r="V322" s="37"/>
    </row>
    <row r="323" spans="1:22" x14ac:dyDescent="0.25">
      <c r="A323" s="31"/>
      <c r="B323" s="22"/>
      <c r="C323" s="23"/>
      <c r="D323" s="32"/>
      <c r="E323" s="45"/>
      <c r="F323" s="24"/>
      <c r="G323" s="24"/>
      <c r="H323" s="24"/>
      <c r="I323" s="25"/>
      <c r="J323" s="43"/>
      <c r="K323" s="43"/>
      <c r="L323" s="22"/>
      <c r="M323" s="23"/>
      <c r="N323" s="13"/>
      <c r="O323" s="27"/>
      <c r="P323" s="35"/>
      <c r="Q323" s="27"/>
      <c r="R323" s="27"/>
      <c r="S323" s="28"/>
      <c r="T323" s="26"/>
      <c r="U323" s="26"/>
      <c r="V323" s="37"/>
    </row>
    <row r="324" spans="1:22" x14ac:dyDescent="0.25">
      <c r="A324" s="31"/>
      <c r="B324" s="22"/>
      <c r="C324" s="23"/>
      <c r="D324" s="32"/>
      <c r="E324" s="14"/>
      <c r="F324" s="29"/>
      <c r="G324" s="43"/>
      <c r="H324" s="43"/>
      <c r="I324" s="43"/>
      <c r="J324" s="43"/>
      <c r="K324" s="43"/>
      <c r="L324" s="22"/>
      <c r="M324" s="23"/>
      <c r="N324" s="13"/>
      <c r="O324" s="43"/>
      <c r="P324" s="43"/>
      <c r="Q324" s="43"/>
      <c r="R324" s="43"/>
      <c r="S324" s="43"/>
      <c r="T324" s="43"/>
      <c r="U324" s="43"/>
      <c r="V324" s="37"/>
    </row>
    <row r="325" spans="1:22" x14ac:dyDescent="0.25">
      <c r="A325" s="56"/>
      <c r="B325" s="57"/>
      <c r="C325" s="57"/>
      <c r="D325" s="57"/>
      <c r="E325" s="58"/>
      <c r="F325" s="58"/>
      <c r="G325" s="58"/>
      <c r="H325" s="58"/>
      <c r="I325" s="58"/>
      <c r="J325" s="58"/>
      <c r="K325" s="58"/>
      <c r="L325" s="57"/>
      <c r="M325" s="57"/>
      <c r="N325" s="57"/>
      <c r="O325" s="58"/>
      <c r="P325" s="58"/>
      <c r="Q325" s="58"/>
      <c r="R325" s="58"/>
      <c r="S325" s="58"/>
      <c r="T325" s="58"/>
      <c r="U325" s="58"/>
      <c r="V325" s="58"/>
    </row>
    <row r="326" spans="1:22" x14ac:dyDescent="0.25">
      <c r="A326" s="59" t="s">
        <v>22</v>
      </c>
      <c r="B326" s="60">
        <f>SUM(B280:B325)</f>
        <v>13</v>
      </c>
      <c r="C326" s="60">
        <f>SUM(C280:C325)</f>
        <v>12</v>
      </c>
      <c r="D326" s="61"/>
      <c r="E326" s="62"/>
      <c r="F326" s="63">
        <f>O326/12</f>
        <v>353.81</v>
      </c>
      <c r="G326" s="63">
        <f>P326/12</f>
        <v>7077.8400000000011</v>
      </c>
      <c r="H326" s="63"/>
      <c r="I326" s="63"/>
      <c r="J326" s="63">
        <f>Q326/12</f>
        <v>17420</v>
      </c>
      <c r="K326" s="63">
        <f>R326/12</f>
        <v>7095.079999999999</v>
      </c>
      <c r="L326" s="60">
        <f>SUM(L280:L325)</f>
        <v>12</v>
      </c>
      <c r="M326" s="60">
        <f>SUM(M280:M325)</f>
        <v>12</v>
      </c>
      <c r="N326" s="64"/>
      <c r="O326" s="65">
        <f t="shared" ref="O326:U326" si="57">SUM(O280:O325)</f>
        <v>4245.72</v>
      </c>
      <c r="P326" s="65">
        <f t="shared" si="57"/>
        <v>84934.080000000016</v>
      </c>
      <c r="Q326" s="65">
        <f t="shared" si="57"/>
        <v>209040</v>
      </c>
      <c r="R326" s="65">
        <f t="shared" si="57"/>
        <v>85140.959999999992</v>
      </c>
      <c r="S326" s="65">
        <f t="shared" si="57"/>
        <v>8735.7312000000002</v>
      </c>
      <c r="T326" s="65">
        <f t="shared" si="57"/>
        <v>12648</v>
      </c>
      <c r="U326" s="65">
        <f t="shared" si="57"/>
        <v>404744.49119999993</v>
      </c>
      <c r="V326" s="66"/>
    </row>
    <row r="328" spans="1:22" x14ac:dyDescent="0.25">
      <c r="Q328" s="132">
        <v>314563</v>
      </c>
      <c r="R328" s="148">
        <f>SUM(Q326:R326)</f>
        <v>294180.95999999996</v>
      </c>
    </row>
    <row r="329" spans="1:22" x14ac:dyDescent="0.25">
      <c r="R329" s="146"/>
    </row>
    <row r="331" spans="1:22" ht="15" x14ac:dyDescent="0.25">
      <c r="A331" s="1" t="s">
        <v>0</v>
      </c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" x14ac:dyDescent="0.25">
      <c r="A332" s="151" t="s">
        <v>1</v>
      </c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</row>
    <row r="333" spans="1:22" ht="15" x14ac:dyDescent="0.25">
      <c r="A333" s="2" t="s">
        <v>2</v>
      </c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3"/>
      <c r="V333" s="5"/>
    </row>
    <row r="334" spans="1:22" ht="15" x14ac:dyDescent="0.25">
      <c r="A334" s="152" t="s">
        <v>3</v>
      </c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</row>
    <row r="335" spans="1:22" ht="1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3"/>
      <c r="V335" s="3"/>
    </row>
    <row r="336" spans="1:22" ht="15" x14ac:dyDescent="0.25">
      <c r="A336" s="2" t="s">
        <v>4</v>
      </c>
      <c r="B336" s="2"/>
      <c r="C336" s="2"/>
      <c r="D336" s="6"/>
      <c r="E336" s="2"/>
      <c r="F336" s="2"/>
      <c r="G336" s="2"/>
      <c r="H336" s="2"/>
      <c r="I336" s="2"/>
      <c r="J336" s="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" x14ac:dyDescent="0.25">
      <c r="A337" s="2" t="s">
        <v>5</v>
      </c>
      <c r="B337" s="2"/>
      <c r="C337" s="2"/>
      <c r="D337" s="6"/>
      <c r="E337" s="2"/>
      <c r="F337" s="2"/>
      <c r="G337" s="2"/>
      <c r="H337" s="2"/>
      <c r="I337" s="2"/>
      <c r="J337" s="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" x14ac:dyDescent="0.25">
      <c r="A338" s="2" t="s">
        <v>220</v>
      </c>
      <c r="B338" s="2"/>
      <c r="C338" s="2"/>
      <c r="D338" s="6"/>
      <c r="E338" s="2"/>
      <c r="F338" s="2"/>
      <c r="G338" s="2"/>
      <c r="H338" s="2"/>
      <c r="I338" s="2"/>
      <c r="J338" s="2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7"/>
    </row>
    <row r="339" spans="1:22" ht="15" x14ac:dyDescent="0.25">
      <c r="A339" s="2" t="s">
        <v>155</v>
      </c>
      <c r="B339" s="2"/>
      <c r="C339" s="2"/>
      <c r="D339" s="6"/>
      <c r="E339" s="2"/>
      <c r="F339" s="2"/>
      <c r="G339" s="2"/>
      <c r="H339" s="2"/>
      <c r="I339" s="2"/>
      <c r="J339" s="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7" t="s">
        <v>310</v>
      </c>
    </row>
    <row r="340" spans="1:22" ht="15" x14ac:dyDescent="0.25">
      <c r="A340" s="2"/>
      <c r="B340" s="2"/>
      <c r="C340" s="2"/>
      <c r="D340" s="6"/>
      <c r="E340" s="2"/>
      <c r="F340" s="2"/>
      <c r="G340" s="2"/>
      <c r="H340" s="2"/>
      <c r="I340" s="2"/>
      <c r="J340" s="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5">
      <c r="A341" s="153" t="s">
        <v>7</v>
      </c>
      <c r="B341" s="153"/>
      <c r="C341" s="153"/>
      <c r="D341" s="154" t="s">
        <v>309</v>
      </c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17"/>
    </row>
    <row r="342" spans="1:22" x14ac:dyDescent="0.25">
      <c r="A342" s="149" t="s">
        <v>311</v>
      </c>
      <c r="B342" s="149"/>
      <c r="C342" s="149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9" t="s">
        <v>8</v>
      </c>
    </row>
    <row r="343" spans="1:22" x14ac:dyDescent="0.25">
      <c r="A343" s="120"/>
      <c r="B343" s="155" t="s">
        <v>10</v>
      </c>
      <c r="C343" s="155"/>
      <c r="D343" s="120" t="s">
        <v>9</v>
      </c>
      <c r="E343" s="120" t="s">
        <v>11</v>
      </c>
      <c r="F343" s="156" t="s">
        <v>12</v>
      </c>
      <c r="G343" s="156"/>
      <c r="H343" s="156"/>
      <c r="I343" s="156"/>
      <c r="J343" s="156"/>
      <c r="K343" s="156"/>
      <c r="L343" s="155" t="s">
        <v>10</v>
      </c>
      <c r="M343" s="155"/>
      <c r="N343" s="120" t="s">
        <v>13</v>
      </c>
      <c r="O343" s="150" t="s">
        <v>14</v>
      </c>
      <c r="P343" s="150"/>
      <c r="Q343" s="150"/>
      <c r="R343" s="150"/>
      <c r="S343" s="150"/>
      <c r="T343" s="150"/>
      <c r="U343" s="121"/>
      <c r="V343" s="119" t="s">
        <v>15</v>
      </c>
    </row>
    <row r="344" spans="1:22" x14ac:dyDescent="0.25">
      <c r="A344" s="119" t="s">
        <v>16</v>
      </c>
      <c r="B344" s="149" t="s">
        <v>17</v>
      </c>
      <c r="C344" s="149"/>
      <c r="D344" s="119" t="s">
        <v>16</v>
      </c>
      <c r="E344" s="119" t="s">
        <v>18</v>
      </c>
      <c r="F344" s="118"/>
      <c r="G344" s="118"/>
      <c r="H344" s="118"/>
      <c r="I344" s="118"/>
      <c r="J344" s="118"/>
      <c r="K344" s="118"/>
      <c r="L344" s="149" t="s">
        <v>17</v>
      </c>
      <c r="M344" s="149"/>
      <c r="N344" s="119" t="s">
        <v>19</v>
      </c>
      <c r="O344" s="150" t="s">
        <v>20</v>
      </c>
      <c r="P344" s="150"/>
      <c r="Q344" s="150"/>
      <c r="R344" s="150"/>
      <c r="S344" s="150"/>
      <c r="T344" s="122" t="s">
        <v>21</v>
      </c>
      <c r="U344" s="123" t="s">
        <v>22</v>
      </c>
      <c r="V344" s="119" t="s">
        <v>23</v>
      </c>
    </row>
    <row r="345" spans="1:22" x14ac:dyDescent="0.25">
      <c r="A345" s="119" t="s">
        <v>24</v>
      </c>
      <c r="B345" s="120" t="s">
        <v>25</v>
      </c>
      <c r="C345" s="120" t="s">
        <v>26</v>
      </c>
      <c r="D345" s="119" t="s">
        <v>24</v>
      </c>
      <c r="E345" s="119" t="s">
        <v>27</v>
      </c>
      <c r="F345" s="120" t="s">
        <v>28</v>
      </c>
      <c r="G345" s="124" t="s">
        <v>29</v>
      </c>
      <c r="H345" s="124"/>
      <c r="I345" s="124" t="s">
        <v>30</v>
      </c>
      <c r="J345" s="124" t="s">
        <v>31</v>
      </c>
      <c r="K345" s="124" t="s">
        <v>305</v>
      </c>
      <c r="L345" s="120" t="s">
        <v>32</v>
      </c>
      <c r="M345" s="125" t="s">
        <v>33</v>
      </c>
      <c r="N345" s="119" t="s">
        <v>34</v>
      </c>
      <c r="O345" s="120" t="s">
        <v>28</v>
      </c>
      <c r="P345" s="120" t="s">
        <v>29</v>
      </c>
      <c r="Q345" s="124" t="s">
        <v>31</v>
      </c>
      <c r="R345" s="124" t="s">
        <v>305</v>
      </c>
      <c r="S345" s="124" t="s">
        <v>35</v>
      </c>
      <c r="T345" s="120" t="s">
        <v>36</v>
      </c>
      <c r="U345" s="123" t="s">
        <v>37</v>
      </c>
      <c r="V345" s="126"/>
    </row>
    <row r="346" spans="1:22" x14ac:dyDescent="0.25">
      <c r="A346" s="127"/>
      <c r="B346" s="127"/>
      <c r="C346" s="127"/>
      <c r="D346" s="127"/>
      <c r="E346" s="127"/>
      <c r="F346" s="127" t="s">
        <v>38</v>
      </c>
      <c r="G346" s="128" t="s">
        <v>39</v>
      </c>
      <c r="H346" s="128"/>
      <c r="I346" s="128" t="s">
        <v>40</v>
      </c>
      <c r="J346" s="128" t="s">
        <v>41</v>
      </c>
      <c r="K346" s="128" t="s">
        <v>306</v>
      </c>
      <c r="L346" s="127"/>
      <c r="M346" s="129"/>
      <c r="N346" s="127"/>
      <c r="O346" s="127" t="s">
        <v>38</v>
      </c>
      <c r="P346" s="127" t="s">
        <v>39</v>
      </c>
      <c r="Q346" s="128" t="s">
        <v>41</v>
      </c>
      <c r="R346" s="128" t="s">
        <v>306</v>
      </c>
      <c r="S346" s="128" t="s">
        <v>42</v>
      </c>
      <c r="T346" s="127" t="s">
        <v>43</v>
      </c>
      <c r="U346" s="130"/>
      <c r="V346" s="131"/>
    </row>
    <row r="347" spans="1:22" x14ac:dyDescent="0.25">
      <c r="A347" s="8"/>
      <c r="B347" s="9"/>
      <c r="C347" s="10"/>
      <c r="D347" s="10"/>
      <c r="E347" s="11"/>
      <c r="F347" s="11"/>
      <c r="G347" s="11"/>
      <c r="H347" s="11"/>
      <c r="I347" s="11"/>
      <c r="J347" s="11"/>
      <c r="K347" s="10"/>
      <c r="L347" s="9"/>
      <c r="M347" s="10"/>
      <c r="N347" s="9"/>
      <c r="O347" s="10"/>
      <c r="P347" s="10"/>
      <c r="Q347" s="10"/>
      <c r="R347" s="10"/>
      <c r="S347" s="10"/>
      <c r="T347" s="10"/>
      <c r="U347" s="10"/>
      <c r="V347" s="11"/>
    </row>
    <row r="348" spans="1:22" x14ac:dyDescent="0.25">
      <c r="A348" s="12"/>
      <c r="B348" s="13"/>
      <c r="C348" s="14"/>
      <c r="D348" s="67" t="s">
        <v>149</v>
      </c>
      <c r="E348" s="17"/>
      <c r="F348" s="17"/>
      <c r="G348" s="17"/>
      <c r="H348" s="17"/>
      <c r="I348" s="19"/>
      <c r="J348" s="19"/>
      <c r="K348" s="14"/>
      <c r="L348" s="13"/>
      <c r="M348" s="14"/>
      <c r="N348" s="13"/>
      <c r="O348" s="14"/>
      <c r="P348" s="14"/>
      <c r="Q348" s="14"/>
      <c r="R348" s="14"/>
      <c r="S348" s="14"/>
      <c r="T348" s="14"/>
      <c r="U348" s="14"/>
      <c r="V348" s="19"/>
    </row>
    <row r="349" spans="1:22" x14ac:dyDescent="0.25">
      <c r="A349" s="31" t="s">
        <v>73</v>
      </c>
      <c r="B349" s="22">
        <v>1</v>
      </c>
      <c r="C349" s="23">
        <v>1</v>
      </c>
      <c r="D349" s="32" t="s">
        <v>73</v>
      </c>
      <c r="E349" s="32">
        <v>1</v>
      </c>
      <c r="F349" s="24">
        <v>38.5</v>
      </c>
      <c r="G349" s="24">
        <f>777.75+H349</f>
        <v>867.75</v>
      </c>
      <c r="H349" s="24">
        <v>90</v>
      </c>
      <c r="I349" s="25">
        <f>F349+G349-H349</f>
        <v>816.25</v>
      </c>
      <c r="J349" s="139">
        <v>2250</v>
      </c>
      <c r="K349" s="140">
        <v>570.07000000000005</v>
      </c>
      <c r="L349" s="13">
        <v>1</v>
      </c>
      <c r="M349" s="23">
        <v>1</v>
      </c>
      <c r="N349" s="13">
        <v>12</v>
      </c>
      <c r="O349" s="27">
        <f>+F349*L349*N349</f>
        <v>462</v>
      </c>
      <c r="P349" s="27">
        <f>G349*L349*N349</f>
        <v>10413</v>
      </c>
      <c r="Q349" s="27">
        <f>J349*L349*N349</f>
        <v>27000</v>
      </c>
      <c r="R349" s="27">
        <f>K349*L349*N349</f>
        <v>6840.84</v>
      </c>
      <c r="S349" s="28">
        <f>IF(I349&lt;650,650*0.09,IF(I349&gt;650,I349*0.09))*12</f>
        <v>881.55</v>
      </c>
      <c r="T349" s="26">
        <f>400+600+(600*0.09)*L349</f>
        <v>1054</v>
      </c>
      <c r="U349" s="26">
        <f>SUM(O349:T349)</f>
        <v>46651.39</v>
      </c>
      <c r="V349" s="36" t="s">
        <v>108</v>
      </c>
    </row>
    <row r="350" spans="1:22" x14ac:dyDescent="0.25">
      <c r="A350" s="21"/>
      <c r="B350" s="22"/>
      <c r="C350" s="23"/>
      <c r="D350" s="29"/>
      <c r="E350" s="32"/>
      <c r="F350" s="18"/>
      <c r="G350" s="18"/>
      <c r="H350" s="18"/>
      <c r="I350" s="18"/>
      <c r="J350" s="141"/>
      <c r="K350" s="142"/>
      <c r="L350" s="22"/>
      <c r="M350" s="23"/>
      <c r="N350" s="48"/>
      <c r="O350" s="26"/>
      <c r="P350" s="26"/>
      <c r="Q350" s="26"/>
      <c r="R350" s="26"/>
      <c r="S350" s="26"/>
      <c r="T350" s="26"/>
      <c r="U350" s="26"/>
      <c r="V350" s="29"/>
    </row>
    <row r="351" spans="1:22" x14ac:dyDescent="0.25">
      <c r="A351" s="21"/>
      <c r="B351" s="22"/>
      <c r="C351" s="23"/>
      <c r="D351" s="68" t="s">
        <v>156</v>
      </c>
      <c r="E351" s="87"/>
      <c r="F351" s="17"/>
      <c r="G351" s="18"/>
      <c r="H351" s="18"/>
      <c r="I351" s="18"/>
      <c r="J351" s="141"/>
      <c r="K351" s="142"/>
      <c r="L351" s="22"/>
      <c r="M351" s="23"/>
      <c r="N351" s="48"/>
      <c r="O351" s="26"/>
      <c r="P351" s="26"/>
      <c r="Q351" s="26"/>
      <c r="R351" s="26"/>
      <c r="S351" s="26"/>
      <c r="T351" s="26"/>
      <c r="U351" s="26"/>
      <c r="V351" s="29"/>
    </row>
    <row r="352" spans="1:22" x14ac:dyDescent="0.25">
      <c r="A352" s="31" t="s">
        <v>81</v>
      </c>
      <c r="B352" s="22">
        <v>1</v>
      </c>
      <c r="C352" s="22">
        <v>1</v>
      </c>
      <c r="D352" s="32" t="s">
        <v>81</v>
      </c>
      <c r="E352" s="83">
        <v>2</v>
      </c>
      <c r="F352" s="24">
        <v>30.26</v>
      </c>
      <c r="G352" s="24">
        <f>557.69+H352</f>
        <v>639.69000000000005</v>
      </c>
      <c r="H352" s="24">
        <v>82</v>
      </c>
      <c r="I352" s="40">
        <f>F352+G352-H352</f>
        <v>587.95000000000005</v>
      </c>
      <c r="J352" s="142">
        <v>1580</v>
      </c>
      <c r="K352" s="142">
        <v>570.85</v>
      </c>
      <c r="L352" s="22">
        <v>1</v>
      </c>
      <c r="M352" s="22">
        <v>1</v>
      </c>
      <c r="N352" s="23">
        <v>12</v>
      </c>
      <c r="O352" s="27">
        <f>+F352*L352*N352</f>
        <v>363.12</v>
      </c>
      <c r="P352" s="35">
        <f>G352*L352*N352</f>
        <v>7676.2800000000007</v>
      </c>
      <c r="Q352" s="27">
        <f>J352*L352*N352</f>
        <v>18960</v>
      </c>
      <c r="R352" s="27">
        <f>K352*L352*N352</f>
        <v>6850.2000000000007</v>
      </c>
      <c r="S352" s="41">
        <f>IF(I352&lt;650,650*0.09,IF(I352&gt;650,I352*0.09))*12</f>
        <v>702</v>
      </c>
      <c r="T352" s="26">
        <f>400+600+(600*0.09)*L352</f>
        <v>1054</v>
      </c>
      <c r="U352" s="26">
        <f>SUM(O352:T352)</f>
        <v>35605.600000000006</v>
      </c>
      <c r="V352" s="36" t="s">
        <v>157</v>
      </c>
    </row>
    <row r="353" spans="1:22" x14ac:dyDescent="0.25">
      <c r="A353" s="31" t="s">
        <v>55</v>
      </c>
      <c r="B353" s="22">
        <v>1</v>
      </c>
      <c r="C353" s="22">
        <v>1</v>
      </c>
      <c r="D353" s="32" t="s">
        <v>55</v>
      </c>
      <c r="E353" s="83">
        <v>3</v>
      </c>
      <c r="F353" s="24">
        <v>23.99</v>
      </c>
      <c r="G353" s="24">
        <f>473.98+H353</f>
        <v>518.98</v>
      </c>
      <c r="H353" s="24">
        <v>45</v>
      </c>
      <c r="I353" s="40">
        <f>F353+G353-H353</f>
        <v>497.97</v>
      </c>
      <c r="J353" s="142">
        <v>1400</v>
      </c>
      <c r="K353" s="142">
        <v>571.24</v>
      </c>
      <c r="L353" s="23">
        <v>1</v>
      </c>
      <c r="M353" s="23">
        <v>1</v>
      </c>
      <c r="N353" s="23">
        <v>12</v>
      </c>
      <c r="O353" s="27">
        <f>+F353*L353*N353</f>
        <v>287.88</v>
      </c>
      <c r="P353" s="35">
        <f>G353*L353*N353</f>
        <v>6227.76</v>
      </c>
      <c r="Q353" s="27">
        <f>J353*L353*N353</f>
        <v>16800</v>
      </c>
      <c r="R353" s="27">
        <f>K353*L353*N353</f>
        <v>6854.88</v>
      </c>
      <c r="S353" s="41">
        <f>IF(I353&lt;650,650*0.09,IF(I353&gt;650,I353*0.09))*12</f>
        <v>702</v>
      </c>
      <c r="T353" s="26">
        <f>400+600+(600*0.09)*L353</f>
        <v>1054</v>
      </c>
      <c r="U353" s="26">
        <f>SUM(O353:T353)</f>
        <v>31926.52</v>
      </c>
      <c r="V353" s="49" t="s">
        <v>76</v>
      </c>
    </row>
    <row r="354" spans="1:22" x14ac:dyDescent="0.25">
      <c r="A354" s="31"/>
      <c r="B354" s="22"/>
      <c r="C354" s="22"/>
      <c r="D354" s="32"/>
      <c r="E354" s="83"/>
      <c r="F354" s="24"/>
      <c r="G354" s="24"/>
      <c r="H354" s="24"/>
      <c r="I354" s="47"/>
      <c r="J354" s="142"/>
      <c r="K354" s="142"/>
      <c r="L354" s="22"/>
      <c r="M354" s="22"/>
      <c r="N354" s="23"/>
      <c r="O354" s="27"/>
      <c r="P354" s="35"/>
      <c r="Q354" s="27"/>
      <c r="R354" s="27"/>
      <c r="S354" s="41"/>
      <c r="T354" s="26"/>
      <c r="U354" s="26"/>
      <c r="V354" s="37"/>
    </row>
    <row r="355" spans="1:22" x14ac:dyDescent="0.25">
      <c r="A355" s="21"/>
      <c r="B355" s="22"/>
      <c r="C355" s="23"/>
      <c r="D355" s="68" t="s">
        <v>158</v>
      </c>
      <c r="E355" s="87"/>
      <c r="F355" s="17"/>
      <c r="G355" s="26"/>
      <c r="H355" s="26"/>
      <c r="I355" s="26"/>
      <c r="J355" s="142"/>
      <c r="K355" s="142"/>
      <c r="L355" s="22"/>
      <c r="M355" s="23"/>
      <c r="N355" s="48"/>
      <c r="O355" s="26"/>
      <c r="P355" s="26"/>
      <c r="Q355" s="26"/>
      <c r="R355" s="26"/>
      <c r="S355" s="26"/>
      <c r="T355" s="26"/>
      <c r="U355" s="26"/>
      <c r="V355" s="29"/>
    </row>
    <row r="356" spans="1:22" x14ac:dyDescent="0.25">
      <c r="A356" s="31" t="s">
        <v>58</v>
      </c>
      <c r="B356" s="22">
        <v>1</v>
      </c>
      <c r="C356" s="23">
        <v>1</v>
      </c>
      <c r="D356" s="32" t="s">
        <v>58</v>
      </c>
      <c r="E356" s="83">
        <v>4</v>
      </c>
      <c r="F356" s="24">
        <v>23.39</v>
      </c>
      <c r="G356" s="24">
        <f>475.04+H356</f>
        <v>505.04</v>
      </c>
      <c r="H356" s="24">
        <v>30</v>
      </c>
      <c r="I356" s="33">
        <f>F356+G356-H356</f>
        <v>498.43000000000006</v>
      </c>
      <c r="J356" s="142">
        <v>1400</v>
      </c>
      <c r="K356" s="142">
        <v>571.24</v>
      </c>
      <c r="L356" s="22">
        <v>1</v>
      </c>
      <c r="M356" s="23">
        <v>1</v>
      </c>
      <c r="N356" s="13">
        <v>12</v>
      </c>
      <c r="O356" s="27">
        <f>+F356*L356*N356</f>
        <v>280.68</v>
      </c>
      <c r="P356" s="35">
        <f>G356*L356*N356</f>
        <v>6060.4800000000005</v>
      </c>
      <c r="Q356" s="27">
        <f>J356*L356*N356</f>
        <v>16800</v>
      </c>
      <c r="R356" s="27">
        <f>K356*L356*N356</f>
        <v>6854.88</v>
      </c>
      <c r="S356" s="28">
        <f>IF(I356&lt;650,650*0.09,IF(I356&gt;650,I356*0.09))*12</f>
        <v>702</v>
      </c>
      <c r="T356" s="26">
        <f>400+600+(600*0.09)*L356</f>
        <v>1054</v>
      </c>
      <c r="U356" s="26">
        <f>SUM(O356:T356)</f>
        <v>31752.04</v>
      </c>
      <c r="V356" s="37" t="s">
        <v>126</v>
      </c>
    </row>
    <row r="357" spans="1:22" x14ac:dyDescent="0.25">
      <c r="A357" s="31"/>
      <c r="B357" s="22"/>
      <c r="C357" s="23"/>
      <c r="D357" s="32"/>
      <c r="E357" s="45"/>
      <c r="F357" s="24"/>
      <c r="G357" s="24"/>
      <c r="H357" s="24"/>
      <c r="I357" s="33"/>
      <c r="J357" s="43"/>
      <c r="K357" s="43"/>
      <c r="L357" s="22"/>
      <c r="M357" s="23"/>
      <c r="N357" s="13"/>
      <c r="O357" s="27"/>
      <c r="P357" s="35"/>
      <c r="Q357" s="27"/>
      <c r="R357" s="27"/>
      <c r="S357" s="28"/>
      <c r="T357" s="26"/>
      <c r="U357" s="26"/>
      <c r="V357" s="37"/>
    </row>
    <row r="358" spans="1:22" x14ac:dyDescent="0.25">
      <c r="A358" s="31"/>
      <c r="B358" s="22"/>
      <c r="C358" s="23"/>
      <c r="D358" s="32"/>
      <c r="E358" s="45"/>
      <c r="F358" s="24"/>
      <c r="G358" s="24"/>
      <c r="H358" s="24"/>
      <c r="I358" s="33"/>
      <c r="J358" s="43"/>
      <c r="K358" s="43"/>
      <c r="L358" s="22"/>
      <c r="M358" s="23"/>
      <c r="N358" s="13"/>
      <c r="O358" s="27"/>
      <c r="P358" s="35"/>
      <c r="Q358" s="27"/>
      <c r="R358" s="27"/>
      <c r="S358" s="28"/>
      <c r="T358" s="26"/>
      <c r="U358" s="26"/>
      <c r="V358" s="37"/>
    </row>
    <row r="359" spans="1:22" x14ac:dyDescent="0.25">
      <c r="A359" s="31"/>
      <c r="B359" s="22"/>
      <c r="C359" s="23"/>
      <c r="D359" s="32"/>
      <c r="E359" s="45"/>
      <c r="F359" s="24"/>
      <c r="G359" s="24"/>
      <c r="H359" s="24"/>
      <c r="I359" s="33"/>
      <c r="J359" s="43"/>
      <c r="K359" s="43"/>
      <c r="L359" s="22"/>
      <c r="M359" s="23"/>
      <c r="N359" s="13"/>
      <c r="O359" s="27"/>
      <c r="P359" s="35"/>
      <c r="Q359" s="27"/>
      <c r="R359" s="27"/>
      <c r="S359" s="28"/>
      <c r="T359" s="26"/>
      <c r="U359" s="26"/>
      <c r="V359" s="37"/>
    </row>
    <row r="360" spans="1:22" x14ac:dyDescent="0.25">
      <c r="A360" s="31"/>
      <c r="B360" s="22"/>
      <c r="C360" s="23"/>
      <c r="D360" s="32"/>
      <c r="E360" s="45"/>
      <c r="F360" s="24"/>
      <c r="G360" s="24"/>
      <c r="H360" s="24"/>
      <c r="I360" s="33"/>
      <c r="J360" s="43"/>
      <c r="K360" s="43"/>
      <c r="L360" s="22"/>
      <c r="M360" s="23"/>
      <c r="N360" s="13"/>
      <c r="O360" s="27"/>
      <c r="P360" s="35"/>
      <c r="Q360" s="27"/>
      <c r="R360" s="27"/>
      <c r="S360" s="28"/>
      <c r="T360" s="26"/>
      <c r="U360" s="26"/>
      <c r="V360" s="37"/>
    </row>
    <row r="361" spans="1:22" x14ac:dyDescent="0.25">
      <c r="A361" s="31"/>
      <c r="B361" s="22"/>
      <c r="C361" s="23"/>
      <c r="D361" s="32"/>
      <c r="E361" s="45"/>
      <c r="F361" s="24"/>
      <c r="G361" s="24"/>
      <c r="H361" s="24"/>
      <c r="I361" s="33"/>
      <c r="J361" s="43"/>
      <c r="K361" s="43"/>
      <c r="L361" s="22"/>
      <c r="M361" s="23"/>
      <c r="N361" s="13"/>
      <c r="O361" s="27"/>
      <c r="P361" s="35"/>
      <c r="Q361" s="27"/>
      <c r="R361" s="27"/>
      <c r="S361" s="28"/>
      <c r="T361" s="26"/>
      <c r="U361" s="26"/>
      <c r="V361" s="37"/>
    </row>
    <row r="362" spans="1:22" x14ac:dyDescent="0.25">
      <c r="A362" s="31"/>
      <c r="B362" s="22"/>
      <c r="C362" s="23"/>
      <c r="D362" s="32"/>
      <c r="E362" s="45"/>
      <c r="F362" s="24"/>
      <c r="G362" s="24"/>
      <c r="H362" s="24"/>
      <c r="I362" s="33"/>
      <c r="J362" s="43"/>
      <c r="K362" s="43"/>
      <c r="L362" s="22"/>
      <c r="M362" s="23"/>
      <c r="N362" s="13"/>
      <c r="O362" s="27"/>
      <c r="P362" s="35"/>
      <c r="Q362" s="27"/>
      <c r="R362" s="27"/>
      <c r="S362" s="28"/>
      <c r="T362" s="26"/>
      <c r="U362" s="26"/>
      <c r="V362" s="37"/>
    </row>
    <row r="363" spans="1:22" x14ac:dyDescent="0.25">
      <c r="A363" s="31"/>
      <c r="B363" s="22"/>
      <c r="C363" s="23"/>
      <c r="D363" s="32"/>
      <c r="E363" s="45"/>
      <c r="F363" s="24"/>
      <c r="G363" s="24"/>
      <c r="H363" s="24"/>
      <c r="I363" s="33"/>
      <c r="J363" s="43"/>
      <c r="K363" s="43"/>
      <c r="L363" s="22"/>
      <c r="M363" s="23"/>
      <c r="N363" s="13"/>
      <c r="O363" s="27"/>
      <c r="P363" s="35"/>
      <c r="Q363" s="27"/>
      <c r="R363" s="27"/>
      <c r="S363" s="28"/>
      <c r="T363" s="26"/>
      <c r="U363" s="26"/>
      <c r="V363" s="37"/>
    </row>
    <row r="364" spans="1:22" x14ac:dyDescent="0.25">
      <c r="A364" s="31"/>
      <c r="B364" s="22"/>
      <c r="C364" s="23"/>
      <c r="D364" s="32"/>
      <c r="E364" s="45"/>
      <c r="F364" s="24"/>
      <c r="G364" s="24"/>
      <c r="H364" s="24"/>
      <c r="I364" s="33"/>
      <c r="J364" s="43"/>
      <c r="K364" s="43"/>
      <c r="L364" s="22"/>
      <c r="M364" s="23"/>
      <c r="N364" s="13"/>
      <c r="O364" s="27"/>
      <c r="P364" s="35"/>
      <c r="Q364" s="27"/>
      <c r="R364" s="27"/>
      <c r="S364" s="28"/>
      <c r="T364" s="26"/>
      <c r="U364" s="26"/>
      <c r="V364" s="37"/>
    </row>
    <row r="365" spans="1:22" x14ac:dyDescent="0.25">
      <c r="A365" s="31"/>
      <c r="B365" s="22"/>
      <c r="C365" s="23"/>
      <c r="D365" s="32"/>
      <c r="E365" s="45"/>
      <c r="F365" s="24"/>
      <c r="G365" s="24"/>
      <c r="H365" s="24"/>
      <c r="I365" s="33"/>
      <c r="J365" s="43"/>
      <c r="K365" s="43"/>
      <c r="L365" s="22"/>
      <c r="M365" s="23"/>
      <c r="N365" s="13"/>
      <c r="O365" s="27"/>
      <c r="P365" s="35"/>
      <c r="Q365" s="27"/>
      <c r="R365" s="27"/>
      <c r="S365" s="28"/>
      <c r="T365" s="26"/>
      <c r="U365" s="26"/>
      <c r="V365" s="37"/>
    </row>
    <row r="366" spans="1:22" x14ac:dyDescent="0.25">
      <c r="A366" s="31"/>
      <c r="B366" s="22"/>
      <c r="C366" s="23"/>
      <c r="D366" s="32"/>
      <c r="E366" s="45"/>
      <c r="F366" s="24"/>
      <c r="G366" s="24"/>
      <c r="H366" s="24"/>
      <c r="I366" s="33"/>
      <c r="J366" s="43"/>
      <c r="K366" s="43"/>
      <c r="L366" s="22"/>
      <c r="M366" s="23"/>
      <c r="N366" s="13"/>
      <c r="O366" s="27"/>
      <c r="P366" s="35"/>
      <c r="Q366" s="27"/>
      <c r="R366" s="27"/>
      <c r="S366" s="28"/>
      <c r="T366" s="26"/>
      <c r="U366" s="26"/>
      <c r="V366" s="37"/>
    </row>
    <row r="367" spans="1:22" x14ac:dyDescent="0.25">
      <c r="A367" s="31"/>
      <c r="B367" s="22"/>
      <c r="C367" s="23"/>
      <c r="D367" s="32"/>
      <c r="E367" s="45"/>
      <c r="F367" s="24"/>
      <c r="G367" s="24"/>
      <c r="H367" s="24"/>
      <c r="I367" s="33"/>
      <c r="J367" s="43"/>
      <c r="K367" s="43"/>
      <c r="L367" s="22"/>
      <c r="M367" s="23"/>
      <c r="N367" s="13"/>
      <c r="O367" s="27"/>
      <c r="P367" s="35"/>
      <c r="Q367" s="27"/>
      <c r="R367" s="27"/>
      <c r="S367" s="28"/>
      <c r="T367" s="26"/>
      <c r="U367" s="26"/>
      <c r="V367" s="37"/>
    </row>
    <row r="368" spans="1:22" x14ac:dyDescent="0.25">
      <c r="A368" s="31"/>
      <c r="B368" s="22"/>
      <c r="C368" s="23"/>
      <c r="D368" s="32"/>
      <c r="E368" s="45"/>
      <c r="F368" s="24"/>
      <c r="G368" s="24"/>
      <c r="H368" s="24"/>
      <c r="I368" s="33"/>
      <c r="J368" s="43"/>
      <c r="K368" s="43"/>
      <c r="L368" s="22"/>
      <c r="M368" s="23"/>
      <c r="N368" s="13"/>
      <c r="O368" s="27"/>
      <c r="P368" s="35"/>
      <c r="Q368" s="27"/>
      <c r="R368" s="27"/>
      <c r="S368" s="28"/>
      <c r="T368" s="26"/>
      <c r="U368" s="26"/>
      <c r="V368" s="37"/>
    </row>
    <row r="369" spans="1:22" x14ac:dyDescent="0.25">
      <c r="A369" s="31"/>
      <c r="B369" s="22"/>
      <c r="C369" s="23"/>
      <c r="D369" s="32"/>
      <c r="E369" s="45"/>
      <c r="F369" s="24"/>
      <c r="G369" s="24"/>
      <c r="H369" s="24"/>
      <c r="I369" s="33"/>
      <c r="J369" s="43"/>
      <c r="K369" s="43"/>
      <c r="L369" s="22"/>
      <c r="M369" s="23"/>
      <c r="N369" s="13"/>
      <c r="O369" s="27"/>
      <c r="P369" s="35"/>
      <c r="Q369" s="27"/>
      <c r="R369" s="27"/>
      <c r="S369" s="28"/>
      <c r="T369" s="26"/>
      <c r="U369" s="26"/>
      <c r="V369" s="37"/>
    </row>
    <row r="370" spans="1:22" x14ac:dyDescent="0.25">
      <c r="A370" s="31"/>
      <c r="B370" s="22"/>
      <c r="C370" s="23"/>
      <c r="D370" s="32"/>
      <c r="E370" s="45"/>
      <c r="F370" s="24"/>
      <c r="G370" s="24"/>
      <c r="H370" s="24"/>
      <c r="I370" s="33"/>
      <c r="J370" s="43"/>
      <c r="K370" s="43"/>
      <c r="L370" s="22"/>
      <c r="M370" s="23"/>
      <c r="N370" s="13"/>
      <c r="O370" s="27"/>
      <c r="P370" s="35"/>
      <c r="Q370" s="27"/>
      <c r="R370" s="27"/>
      <c r="S370" s="28"/>
      <c r="T370" s="26"/>
      <c r="U370" s="26"/>
      <c r="V370" s="37"/>
    </row>
    <row r="371" spans="1:22" x14ac:dyDescent="0.25">
      <c r="A371" s="31"/>
      <c r="B371" s="22"/>
      <c r="C371" s="23"/>
      <c r="D371" s="32"/>
      <c r="E371" s="45"/>
      <c r="F371" s="24"/>
      <c r="G371" s="24"/>
      <c r="H371" s="24"/>
      <c r="I371" s="33"/>
      <c r="J371" s="43"/>
      <c r="K371" s="43"/>
      <c r="L371" s="22"/>
      <c r="M371" s="23"/>
      <c r="N371" s="13"/>
      <c r="O371" s="27"/>
      <c r="P371" s="35"/>
      <c r="Q371" s="27"/>
      <c r="R371" s="27"/>
      <c r="S371" s="28"/>
      <c r="T371" s="26"/>
      <c r="U371" s="26"/>
      <c r="V371" s="37"/>
    </row>
    <row r="372" spans="1:22" x14ac:dyDescent="0.25">
      <c r="A372" s="31"/>
      <c r="B372" s="22"/>
      <c r="C372" s="23"/>
      <c r="D372" s="32"/>
      <c r="E372" s="45"/>
      <c r="F372" s="24"/>
      <c r="G372" s="24"/>
      <c r="H372" s="24"/>
      <c r="I372" s="33"/>
      <c r="J372" s="43"/>
      <c r="K372" s="43"/>
      <c r="L372" s="22"/>
      <c r="M372" s="23"/>
      <c r="N372" s="13"/>
      <c r="O372" s="27"/>
      <c r="P372" s="35"/>
      <c r="Q372" s="27"/>
      <c r="R372" s="27"/>
      <c r="S372" s="28"/>
      <c r="T372" s="26"/>
      <c r="U372" s="26"/>
      <c r="V372" s="37"/>
    </row>
    <row r="373" spans="1:22" x14ac:dyDescent="0.25">
      <c r="A373" s="31"/>
      <c r="B373" s="22"/>
      <c r="C373" s="23"/>
      <c r="D373" s="32"/>
      <c r="E373" s="45"/>
      <c r="F373" s="24"/>
      <c r="G373" s="24"/>
      <c r="H373" s="24"/>
      <c r="I373" s="33"/>
      <c r="J373" s="43"/>
      <c r="K373" s="43"/>
      <c r="L373" s="22"/>
      <c r="M373" s="23"/>
      <c r="N373" s="13"/>
      <c r="O373" s="27"/>
      <c r="P373" s="35"/>
      <c r="Q373" s="27"/>
      <c r="R373" s="27"/>
      <c r="S373" s="28"/>
      <c r="T373" s="26"/>
      <c r="U373" s="26"/>
      <c r="V373" s="37"/>
    </row>
    <row r="374" spans="1:22" x14ac:dyDescent="0.25">
      <c r="A374" s="31"/>
      <c r="B374" s="22"/>
      <c r="C374" s="23"/>
      <c r="D374" s="32"/>
      <c r="E374" s="45"/>
      <c r="F374" s="24"/>
      <c r="G374" s="24"/>
      <c r="H374" s="24"/>
      <c r="I374" s="33"/>
      <c r="J374" s="43"/>
      <c r="K374" s="43"/>
      <c r="L374" s="22"/>
      <c r="M374" s="23"/>
      <c r="N374" s="13"/>
      <c r="O374" s="27"/>
      <c r="P374" s="35"/>
      <c r="Q374" s="27"/>
      <c r="R374" s="27"/>
      <c r="S374" s="28"/>
      <c r="T374" s="26"/>
      <c r="U374" s="26"/>
      <c r="V374" s="37"/>
    </row>
    <row r="375" spans="1:22" x14ac:dyDescent="0.25">
      <c r="A375" s="31"/>
      <c r="B375" s="22"/>
      <c r="C375" s="23"/>
      <c r="D375" s="32"/>
      <c r="E375" s="45"/>
      <c r="F375" s="24"/>
      <c r="G375" s="24"/>
      <c r="H375" s="24"/>
      <c r="I375" s="33"/>
      <c r="J375" s="43"/>
      <c r="K375" s="43"/>
      <c r="L375" s="22"/>
      <c r="M375" s="23"/>
      <c r="N375" s="13"/>
      <c r="O375" s="27"/>
      <c r="P375" s="35"/>
      <c r="Q375" s="27"/>
      <c r="R375" s="27"/>
      <c r="S375" s="28"/>
      <c r="T375" s="26"/>
      <c r="U375" s="26"/>
      <c r="V375" s="37"/>
    </row>
    <row r="376" spans="1:22" x14ac:dyDescent="0.25">
      <c r="A376" s="31"/>
      <c r="B376" s="22"/>
      <c r="C376" s="23"/>
      <c r="D376" s="32"/>
      <c r="E376" s="45"/>
      <c r="F376" s="24"/>
      <c r="G376" s="24"/>
      <c r="H376" s="24"/>
      <c r="I376" s="33"/>
      <c r="J376" s="43"/>
      <c r="K376" s="43"/>
      <c r="L376" s="22"/>
      <c r="M376" s="23"/>
      <c r="N376" s="13"/>
      <c r="O376" s="27"/>
      <c r="P376" s="35"/>
      <c r="Q376" s="27"/>
      <c r="R376" s="27"/>
      <c r="S376" s="28"/>
      <c r="T376" s="26"/>
      <c r="U376" s="26"/>
      <c r="V376" s="37"/>
    </row>
    <row r="377" spans="1:22" x14ac:dyDescent="0.25">
      <c r="A377" s="31"/>
      <c r="B377" s="22"/>
      <c r="C377" s="23"/>
      <c r="D377" s="32"/>
      <c r="E377" s="45"/>
      <c r="F377" s="24"/>
      <c r="G377" s="24"/>
      <c r="H377" s="24"/>
      <c r="I377" s="33"/>
      <c r="J377" s="43"/>
      <c r="K377" s="43"/>
      <c r="L377" s="22"/>
      <c r="M377" s="23"/>
      <c r="N377" s="13"/>
      <c r="O377" s="27"/>
      <c r="P377" s="35"/>
      <c r="Q377" s="27"/>
      <c r="R377" s="27"/>
      <c r="S377" s="28"/>
      <c r="T377" s="26"/>
      <c r="U377" s="26"/>
      <c r="V377" s="37"/>
    </row>
    <row r="378" spans="1:22" x14ac:dyDescent="0.25">
      <c r="A378" s="31"/>
      <c r="B378" s="22"/>
      <c r="C378" s="23"/>
      <c r="D378" s="32"/>
      <c r="E378" s="45"/>
      <c r="F378" s="24"/>
      <c r="G378" s="24"/>
      <c r="H378" s="24"/>
      <c r="I378" s="33"/>
      <c r="J378" s="43"/>
      <c r="K378" s="43"/>
      <c r="L378" s="22"/>
      <c r="M378" s="23"/>
      <c r="N378" s="13"/>
      <c r="O378" s="27"/>
      <c r="P378" s="35"/>
      <c r="Q378" s="27"/>
      <c r="R378" s="27"/>
      <c r="S378" s="28"/>
      <c r="T378" s="26"/>
      <c r="U378" s="26"/>
      <c r="V378" s="37"/>
    </row>
    <row r="379" spans="1:22" x14ac:dyDescent="0.25">
      <c r="A379" s="31"/>
      <c r="B379" s="22"/>
      <c r="C379" s="23"/>
      <c r="D379" s="32"/>
      <c r="E379" s="45"/>
      <c r="F379" s="24"/>
      <c r="G379" s="24"/>
      <c r="H379" s="24"/>
      <c r="I379" s="33"/>
      <c r="J379" s="43"/>
      <c r="K379" s="43"/>
      <c r="L379" s="22"/>
      <c r="M379" s="23"/>
      <c r="N379" s="13"/>
      <c r="O379" s="27"/>
      <c r="P379" s="35"/>
      <c r="Q379" s="27"/>
      <c r="R379" s="27"/>
      <c r="S379" s="28"/>
      <c r="T379" s="26"/>
      <c r="U379" s="26"/>
      <c r="V379" s="37"/>
    </row>
    <row r="380" spans="1:22" x14ac:dyDescent="0.25">
      <c r="A380" s="31"/>
      <c r="B380" s="22"/>
      <c r="C380" s="23"/>
      <c r="D380" s="32"/>
      <c r="E380" s="45"/>
      <c r="F380" s="24"/>
      <c r="G380" s="24"/>
      <c r="H380" s="24"/>
      <c r="I380" s="33"/>
      <c r="J380" s="43"/>
      <c r="K380" s="43"/>
      <c r="L380" s="22"/>
      <c r="M380" s="23"/>
      <c r="N380" s="13"/>
      <c r="O380" s="27"/>
      <c r="P380" s="35"/>
      <c r="Q380" s="27"/>
      <c r="R380" s="27"/>
      <c r="S380" s="28"/>
      <c r="T380" s="26"/>
      <c r="U380" s="26"/>
      <c r="V380" s="37"/>
    </row>
    <row r="381" spans="1:22" x14ac:dyDescent="0.25">
      <c r="A381" s="31"/>
      <c r="B381" s="22"/>
      <c r="C381" s="23"/>
      <c r="D381" s="32"/>
      <c r="E381" s="45"/>
      <c r="F381" s="24"/>
      <c r="G381" s="24"/>
      <c r="H381" s="24"/>
      <c r="I381" s="33"/>
      <c r="J381" s="43"/>
      <c r="K381" s="43"/>
      <c r="L381" s="22"/>
      <c r="M381" s="23"/>
      <c r="N381" s="13"/>
      <c r="O381" s="27"/>
      <c r="P381" s="35"/>
      <c r="Q381" s="27"/>
      <c r="R381" s="27"/>
      <c r="S381" s="28"/>
      <c r="T381" s="26"/>
      <c r="U381" s="26"/>
      <c r="V381" s="37"/>
    </row>
    <row r="382" spans="1:22" x14ac:dyDescent="0.25">
      <c r="A382" s="31"/>
      <c r="B382" s="22"/>
      <c r="C382" s="23"/>
      <c r="D382" s="32"/>
      <c r="E382" s="45"/>
      <c r="F382" s="24"/>
      <c r="G382" s="24"/>
      <c r="H382" s="24"/>
      <c r="I382" s="33"/>
      <c r="J382" s="43"/>
      <c r="K382" s="43"/>
      <c r="L382" s="22"/>
      <c r="M382" s="23"/>
      <c r="N382" s="13"/>
      <c r="O382" s="27"/>
      <c r="P382" s="35"/>
      <c r="Q382" s="27"/>
      <c r="R382" s="27"/>
      <c r="S382" s="28"/>
      <c r="T382" s="26"/>
      <c r="U382" s="26"/>
      <c r="V382" s="37"/>
    </row>
    <row r="383" spans="1:22" x14ac:dyDescent="0.25">
      <c r="A383" s="31"/>
      <c r="B383" s="22"/>
      <c r="C383" s="23"/>
      <c r="D383" s="32"/>
      <c r="E383" s="45"/>
      <c r="F383" s="24"/>
      <c r="G383" s="24"/>
      <c r="H383" s="24"/>
      <c r="I383" s="33"/>
      <c r="J383" s="43"/>
      <c r="K383" s="43"/>
      <c r="L383" s="22"/>
      <c r="M383" s="23"/>
      <c r="N383" s="13"/>
      <c r="O383" s="27"/>
      <c r="P383" s="35"/>
      <c r="Q383" s="27"/>
      <c r="R383" s="27"/>
      <c r="S383" s="28"/>
      <c r="T383" s="26"/>
      <c r="U383" s="26"/>
      <c r="V383" s="37"/>
    </row>
    <row r="384" spans="1:22" x14ac:dyDescent="0.25">
      <c r="A384" s="31"/>
      <c r="B384" s="22"/>
      <c r="C384" s="23"/>
      <c r="D384" s="32"/>
      <c r="E384" s="45"/>
      <c r="F384" s="24"/>
      <c r="G384" s="24"/>
      <c r="H384" s="24"/>
      <c r="I384" s="33"/>
      <c r="J384" s="43"/>
      <c r="K384" s="43"/>
      <c r="L384" s="22"/>
      <c r="M384" s="23"/>
      <c r="N384" s="13"/>
      <c r="O384" s="27"/>
      <c r="P384" s="35"/>
      <c r="Q384" s="27"/>
      <c r="R384" s="27"/>
      <c r="S384" s="28"/>
      <c r="T384" s="26"/>
      <c r="U384" s="26"/>
      <c r="V384" s="37"/>
    </row>
    <row r="385" spans="1:22" x14ac:dyDescent="0.25">
      <c r="A385" s="31"/>
      <c r="B385" s="22"/>
      <c r="C385" s="23"/>
      <c r="D385" s="32"/>
      <c r="E385" s="45"/>
      <c r="F385" s="24"/>
      <c r="G385" s="24"/>
      <c r="H385" s="24"/>
      <c r="I385" s="33"/>
      <c r="J385" s="43"/>
      <c r="K385" s="43"/>
      <c r="L385" s="22"/>
      <c r="M385" s="23"/>
      <c r="N385" s="13"/>
      <c r="O385" s="27"/>
      <c r="P385" s="35"/>
      <c r="Q385" s="27"/>
      <c r="R385" s="27"/>
      <c r="S385" s="28"/>
      <c r="T385" s="26"/>
      <c r="U385" s="26"/>
      <c r="V385" s="37"/>
    </row>
    <row r="386" spans="1:22" x14ac:dyDescent="0.25">
      <c r="A386" s="31"/>
      <c r="B386" s="22"/>
      <c r="C386" s="23"/>
      <c r="D386" s="32"/>
      <c r="E386" s="45"/>
      <c r="F386" s="24"/>
      <c r="G386" s="24"/>
      <c r="H386" s="24"/>
      <c r="I386" s="33"/>
      <c r="J386" s="43"/>
      <c r="K386" s="43"/>
      <c r="L386" s="22"/>
      <c r="M386" s="23"/>
      <c r="N386" s="13"/>
      <c r="O386" s="27"/>
      <c r="P386" s="35"/>
      <c r="Q386" s="27"/>
      <c r="R386" s="27"/>
      <c r="S386" s="28"/>
      <c r="T386" s="26"/>
      <c r="U386" s="26"/>
      <c r="V386" s="37"/>
    </row>
    <row r="387" spans="1:22" x14ac:dyDescent="0.25">
      <c r="A387" s="31"/>
      <c r="B387" s="22"/>
      <c r="C387" s="23"/>
      <c r="D387" s="32"/>
      <c r="E387" s="45"/>
      <c r="F387" s="24"/>
      <c r="G387" s="24"/>
      <c r="H387" s="24"/>
      <c r="I387" s="33"/>
      <c r="J387" s="43"/>
      <c r="K387" s="43"/>
      <c r="L387" s="22"/>
      <c r="M387" s="23"/>
      <c r="N387" s="13"/>
      <c r="O387" s="27"/>
      <c r="P387" s="35"/>
      <c r="Q387" s="27"/>
      <c r="R387" s="27"/>
      <c r="S387" s="28"/>
      <c r="T387" s="26"/>
      <c r="U387" s="26"/>
      <c r="V387" s="37"/>
    </row>
    <row r="388" spans="1:22" x14ac:dyDescent="0.25">
      <c r="A388" s="31"/>
      <c r="B388" s="22"/>
      <c r="C388" s="23"/>
      <c r="D388" s="32"/>
      <c r="E388" s="45"/>
      <c r="F388" s="24"/>
      <c r="G388" s="24"/>
      <c r="H388" s="24"/>
      <c r="I388" s="33"/>
      <c r="J388" s="43"/>
      <c r="K388" s="43"/>
      <c r="L388" s="22"/>
      <c r="M388" s="23"/>
      <c r="N388" s="13"/>
      <c r="O388" s="27"/>
      <c r="P388" s="35"/>
      <c r="Q388" s="27"/>
      <c r="R388" s="27"/>
      <c r="S388" s="28"/>
      <c r="T388" s="26"/>
      <c r="U388" s="26"/>
      <c r="V388" s="37"/>
    </row>
    <row r="389" spans="1:22" x14ac:dyDescent="0.25">
      <c r="A389" s="31"/>
      <c r="B389" s="22"/>
      <c r="C389" s="23"/>
      <c r="D389" s="32"/>
      <c r="E389" s="45"/>
      <c r="F389" s="24"/>
      <c r="G389" s="24"/>
      <c r="H389" s="24"/>
      <c r="I389" s="33"/>
      <c r="J389" s="43"/>
      <c r="K389" s="43"/>
      <c r="L389" s="22"/>
      <c r="M389" s="23"/>
      <c r="N389" s="13"/>
      <c r="O389" s="27"/>
      <c r="P389" s="35"/>
      <c r="Q389" s="27"/>
      <c r="R389" s="27"/>
      <c r="S389" s="28"/>
      <c r="T389" s="26"/>
      <c r="U389" s="26"/>
      <c r="V389" s="37"/>
    </row>
    <row r="390" spans="1:22" x14ac:dyDescent="0.25">
      <c r="A390" s="31"/>
      <c r="B390" s="22"/>
      <c r="C390" s="23"/>
      <c r="D390" s="32"/>
      <c r="E390" s="45"/>
      <c r="F390" s="24"/>
      <c r="G390" s="24"/>
      <c r="H390" s="24"/>
      <c r="I390" s="25"/>
      <c r="J390" s="43"/>
      <c r="K390" s="43"/>
      <c r="L390" s="22"/>
      <c r="M390" s="23"/>
      <c r="N390" s="13"/>
      <c r="O390" s="27"/>
      <c r="P390" s="35"/>
      <c r="Q390" s="27"/>
      <c r="R390" s="27"/>
      <c r="S390" s="28"/>
      <c r="T390" s="26"/>
      <c r="U390" s="26"/>
      <c r="V390" s="37"/>
    </row>
    <row r="391" spans="1:22" x14ac:dyDescent="0.25">
      <c r="A391" s="31"/>
      <c r="B391" s="22"/>
      <c r="C391" s="23"/>
      <c r="D391" s="32"/>
      <c r="E391" s="14"/>
      <c r="F391" s="29"/>
      <c r="G391" s="43"/>
      <c r="H391" s="43"/>
      <c r="I391" s="43"/>
      <c r="J391" s="43"/>
      <c r="K391" s="43"/>
      <c r="L391" s="22"/>
      <c r="M391" s="23"/>
      <c r="N391" s="13"/>
      <c r="O391" s="43"/>
      <c r="P391" s="43"/>
      <c r="Q391" s="43"/>
      <c r="R391" s="43"/>
      <c r="S391" s="43"/>
      <c r="T391" s="43"/>
      <c r="U391" s="43"/>
      <c r="V391" s="37"/>
    </row>
    <row r="392" spans="1:22" x14ac:dyDescent="0.25">
      <c r="A392" s="56"/>
      <c r="B392" s="57"/>
      <c r="C392" s="57"/>
      <c r="D392" s="57"/>
      <c r="E392" s="58"/>
      <c r="F392" s="58"/>
      <c r="G392" s="58"/>
      <c r="H392" s="58"/>
      <c r="I392" s="58"/>
      <c r="J392" s="58"/>
      <c r="K392" s="58"/>
      <c r="L392" s="57"/>
      <c r="M392" s="57"/>
      <c r="N392" s="57"/>
      <c r="O392" s="58"/>
      <c r="P392" s="58"/>
      <c r="Q392" s="58"/>
      <c r="R392" s="58"/>
      <c r="S392" s="58"/>
      <c r="T392" s="58"/>
      <c r="U392" s="58"/>
      <c r="V392" s="58"/>
    </row>
    <row r="393" spans="1:22" ht="22.5" customHeight="1" x14ac:dyDescent="0.25">
      <c r="A393" s="71" t="s">
        <v>22</v>
      </c>
      <c r="B393" s="60">
        <f>SUM(B349:B392)</f>
        <v>4</v>
      </c>
      <c r="C393" s="60">
        <f>SUM(C349:C392)</f>
        <v>4</v>
      </c>
      <c r="D393" s="88"/>
      <c r="E393" s="88"/>
      <c r="F393" s="63">
        <f>O393/12</f>
        <v>116.14</v>
      </c>
      <c r="G393" s="63">
        <f>P393/12</f>
        <v>2531.46</v>
      </c>
      <c r="H393" s="63"/>
      <c r="I393" s="63"/>
      <c r="J393" s="63">
        <f>Q393/12</f>
        <v>6630</v>
      </c>
      <c r="K393" s="63">
        <f>R393/12</f>
        <v>2283.4</v>
      </c>
      <c r="L393" s="60">
        <f>SUM(L349:L392)</f>
        <v>4</v>
      </c>
      <c r="M393" s="60">
        <f>SUM(M349:M392)</f>
        <v>4</v>
      </c>
      <c r="N393" s="64"/>
      <c r="O393" s="65">
        <f t="shared" ref="O393:U393" si="58">SUM(O349:O392)</f>
        <v>1393.68</v>
      </c>
      <c r="P393" s="65">
        <f t="shared" si="58"/>
        <v>30377.52</v>
      </c>
      <c r="Q393" s="65">
        <f t="shared" si="58"/>
        <v>79560</v>
      </c>
      <c r="R393" s="65">
        <f t="shared" si="58"/>
        <v>27400.800000000003</v>
      </c>
      <c r="S393" s="65">
        <f t="shared" si="58"/>
        <v>2987.55</v>
      </c>
      <c r="T393" s="65">
        <f t="shared" si="58"/>
        <v>4216</v>
      </c>
      <c r="U393" s="65">
        <f t="shared" si="58"/>
        <v>145935.55000000002</v>
      </c>
      <c r="V393" s="66"/>
    </row>
    <row r="395" spans="1:22" x14ac:dyDescent="0.25">
      <c r="Q395" s="132">
        <v>106961</v>
      </c>
      <c r="R395" s="148">
        <f>SUM(Q393:R393)</f>
        <v>106960.8</v>
      </c>
    </row>
    <row r="400" spans="1:22" ht="15" x14ac:dyDescent="0.25">
      <c r="A400" s="1" t="s">
        <v>0</v>
      </c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" x14ac:dyDescent="0.25">
      <c r="A401" s="151" t="s">
        <v>1</v>
      </c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</row>
    <row r="402" spans="1:22" ht="15" x14ac:dyDescent="0.25">
      <c r="A402" s="2" t="s">
        <v>2</v>
      </c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3"/>
      <c r="V402" s="5"/>
    </row>
    <row r="403" spans="1:22" ht="15" x14ac:dyDescent="0.25">
      <c r="A403" s="152" t="s">
        <v>3</v>
      </c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</row>
    <row r="404" spans="1:22" ht="1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3"/>
      <c r="V404" s="3"/>
    </row>
    <row r="405" spans="1:22" ht="15" x14ac:dyDescent="0.25">
      <c r="A405" s="2" t="s">
        <v>4</v>
      </c>
      <c r="B405" s="2"/>
      <c r="C405" s="2"/>
      <c r="D405" s="6"/>
      <c r="E405" s="2"/>
      <c r="F405" s="2"/>
      <c r="G405" s="2"/>
      <c r="H405" s="2"/>
      <c r="I405" s="2"/>
      <c r="J405" s="2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" x14ac:dyDescent="0.25">
      <c r="A406" s="2" t="s">
        <v>5</v>
      </c>
      <c r="B406" s="2"/>
      <c r="C406" s="2"/>
      <c r="D406" s="6"/>
      <c r="E406" s="2"/>
      <c r="F406" s="2"/>
      <c r="G406" s="2"/>
      <c r="H406" s="2"/>
      <c r="I406" s="2"/>
      <c r="J406" s="2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" x14ac:dyDescent="0.25">
      <c r="A407" s="2" t="s">
        <v>220</v>
      </c>
      <c r="B407" s="2"/>
      <c r="C407" s="2"/>
      <c r="D407" s="6"/>
      <c r="E407" s="2"/>
      <c r="F407" s="2"/>
      <c r="G407" s="2"/>
      <c r="H407" s="2"/>
      <c r="I407" s="2"/>
      <c r="J407" s="2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7"/>
    </row>
    <row r="408" spans="1:22" ht="15" x14ac:dyDescent="0.25">
      <c r="A408" s="2" t="s">
        <v>159</v>
      </c>
      <c r="B408" s="2"/>
      <c r="C408" s="2"/>
      <c r="D408" s="6"/>
      <c r="E408" s="2"/>
      <c r="F408" s="2"/>
      <c r="G408" s="2"/>
      <c r="H408" s="2"/>
      <c r="I408" s="2"/>
      <c r="J408" s="2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7" t="s">
        <v>310</v>
      </c>
    </row>
    <row r="409" spans="1:22" ht="15" x14ac:dyDescent="0.25">
      <c r="A409" s="2"/>
      <c r="B409" s="2"/>
      <c r="C409" s="2"/>
      <c r="D409" s="6"/>
      <c r="E409" s="2"/>
      <c r="F409" s="2"/>
      <c r="G409" s="2"/>
      <c r="H409" s="2"/>
      <c r="I409" s="2"/>
      <c r="J409" s="2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5">
      <c r="A410" s="153" t="s">
        <v>7</v>
      </c>
      <c r="B410" s="153"/>
      <c r="C410" s="153"/>
      <c r="D410" s="154" t="s">
        <v>309</v>
      </c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17"/>
    </row>
    <row r="411" spans="1:22" x14ac:dyDescent="0.25">
      <c r="A411" s="149" t="s">
        <v>311</v>
      </c>
      <c r="B411" s="149"/>
      <c r="C411" s="149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9" t="s">
        <v>8</v>
      </c>
    </row>
    <row r="412" spans="1:22" x14ac:dyDescent="0.25">
      <c r="A412" s="120"/>
      <c r="B412" s="155" t="s">
        <v>10</v>
      </c>
      <c r="C412" s="155"/>
      <c r="D412" s="120" t="s">
        <v>9</v>
      </c>
      <c r="E412" s="120" t="s">
        <v>11</v>
      </c>
      <c r="F412" s="156" t="s">
        <v>12</v>
      </c>
      <c r="G412" s="156"/>
      <c r="H412" s="156"/>
      <c r="I412" s="156"/>
      <c r="J412" s="156"/>
      <c r="K412" s="156"/>
      <c r="L412" s="155" t="s">
        <v>10</v>
      </c>
      <c r="M412" s="155"/>
      <c r="N412" s="120" t="s">
        <v>13</v>
      </c>
      <c r="O412" s="150" t="s">
        <v>14</v>
      </c>
      <c r="P412" s="150"/>
      <c r="Q412" s="150"/>
      <c r="R412" s="150"/>
      <c r="S412" s="150"/>
      <c r="T412" s="150"/>
      <c r="U412" s="121"/>
      <c r="V412" s="119" t="s">
        <v>15</v>
      </c>
    </row>
    <row r="413" spans="1:22" x14ac:dyDescent="0.25">
      <c r="A413" s="119" t="s">
        <v>16</v>
      </c>
      <c r="B413" s="149" t="s">
        <v>17</v>
      </c>
      <c r="C413" s="149"/>
      <c r="D413" s="119" t="s">
        <v>16</v>
      </c>
      <c r="E413" s="119" t="s">
        <v>18</v>
      </c>
      <c r="F413" s="118"/>
      <c r="G413" s="118"/>
      <c r="H413" s="118"/>
      <c r="I413" s="118"/>
      <c r="J413" s="118"/>
      <c r="K413" s="118"/>
      <c r="L413" s="149" t="s">
        <v>17</v>
      </c>
      <c r="M413" s="149"/>
      <c r="N413" s="119" t="s">
        <v>19</v>
      </c>
      <c r="O413" s="150" t="s">
        <v>20</v>
      </c>
      <c r="P413" s="150"/>
      <c r="Q413" s="150"/>
      <c r="R413" s="150"/>
      <c r="S413" s="150"/>
      <c r="T413" s="122" t="s">
        <v>21</v>
      </c>
      <c r="U413" s="123" t="s">
        <v>22</v>
      </c>
      <c r="V413" s="119" t="s">
        <v>23</v>
      </c>
    </row>
    <row r="414" spans="1:22" x14ac:dyDescent="0.25">
      <c r="A414" s="119" t="s">
        <v>24</v>
      </c>
      <c r="B414" s="120" t="s">
        <v>25</v>
      </c>
      <c r="C414" s="120" t="s">
        <v>26</v>
      </c>
      <c r="D414" s="119" t="s">
        <v>24</v>
      </c>
      <c r="E414" s="119" t="s">
        <v>27</v>
      </c>
      <c r="F414" s="120" t="s">
        <v>28</v>
      </c>
      <c r="G414" s="124" t="s">
        <v>29</v>
      </c>
      <c r="H414" s="124"/>
      <c r="I414" s="124" t="s">
        <v>30</v>
      </c>
      <c r="J414" s="124" t="s">
        <v>31</v>
      </c>
      <c r="K414" s="124" t="s">
        <v>305</v>
      </c>
      <c r="L414" s="120" t="s">
        <v>32</v>
      </c>
      <c r="M414" s="125" t="s">
        <v>33</v>
      </c>
      <c r="N414" s="119" t="s">
        <v>34</v>
      </c>
      <c r="O414" s="120" t="s">
        <v>28</v>
      </c>
      <c r="P414" s="120" t="s">
        <v>29</v>
      </c>
      <c r="Q414" s="124" t="s">
        <v>31</v>
      </c>
      <c r="R414" s="124" t="s">
        <v>305</v>
      </c>
      <c r="S414" s="124" t="s">
        <v>35</v>
      </c>
      <c r="T414" s="120" t="s">
        <v>36</v>
      </c>
      <c r="U414" s="123" t="s">
        <v>37</v>
      </c>
      <c r="V414" s="126"/>
    </row>
    <row r="415" spans="1:22" x14ac:dyDescent="0.25">
      <c r="A415" s="127"/>
      <c r="B415" s="127"/>
      <c r="C415" s="127"/>
      <c r="D415" s="127"/>
      <c r="E415" s="127"/>
      <c r="F415" s="127" t="s">
        <v>38</v>
      </c>
      <c r="G415" s="128" t="s">
        <v>39</v>
      </c>
      <c r="H415" s="128"/>
      <c r="I415" s="128" t="s">
        <v>40</v>
      </c>
      <c r="J415" s="128" t="s">
        <v>41</v>
      </c>
      <c r="K415" s="128" t="s">
        <v>306</v>
      </c>
      <c r="L415" s="127"/>
      <c r="M415" s="129"/>
      <c r="N415" s="127"/>
      <c r="O415" s="127" t="s">
        <v>38</v>
      </c>
      <c r="P415" s="127" t="s">
        <v>39</v>
      </c>
      <c r="Q415" s="128" t="s">
        <v>41</v>
      </c>
      <c r="R415" s="128" t="s">
        <v>306</v>
      </c>
      <c r="S415" s="128" t="s">
        <v>42</v>
      </c>
      <c r="T415" s="127" t="s">
        <v>43</v>
      </c>
      <c r="U415" s="130"/>
      <c r="V415" s="131"/>
    </row>
    <row r="416" spans="1:22" x14ac:dyDescent="0.25">
      <c r="A416" s="8"/>
      <c r="B416" s="9"/>
      <c r="C416" s="10"/>
      <c r="D416" s="10"/>
      <c r="E416" s="11"/>
      <c r="F416" s="11"/>
      <c r="G416" s="11"/>
      <c r="H416" s="11"/>
      <c r="I416" s="11"/>
      <c r="J416" s="11"/>
      <c r="K416" s="10"/>
      <c r="L416" s="9"/>
      <c r="M416" s="10"/>
      <c r="N416" s="9"/>
      <c r="O416" s="10"/>
      <c r="P416" s="10"/>
      <c r="Q416" s="10"/>
      <c r="R416" s="10"/>
      <c r="S416" s="10"/>
      <c r="T416" s="10"/>
      <c r="U416" s="10"/>
      <c r="V416" s="11"/>
    </row>
    <row r="417" spans="1:24" x14ac:dyDescent="0.25">
      <c r="A417" s="12"/>
      <c r="B417" s="13"/>
      <c r="C417" s="14"/>
      <c r="D417" s="67" t="s">
        <v>149</v>
      </c>
      <c r="E417" s="17"/>
      <c r="F417" s="17"/>
      <c r="G417" s="17"/>
      <c r="H417" s="17"/>
      <c r="I417" s="19"/>
      <c r="J417" s="19"/>
      <c r="K417" s="14"/>
      <c r="L417" s="13"/>
      <c r="M417" s="14"/>
      <c r="N417" s="13"/>
      <c r="O417" s="14"/>
      <c r="P417" s="14"/>
      <c r="Q417" s="14"/>
      <c r="R417" s="14"/>
      <c r="S417" s="14"/>
      <c r="T417" s="14"/>
      <c r="U417" s="14"/>
      <c r="V417" s="19"/>
    </row>
    <row r="418" spans="1:24" x14ac:dyDescent="0.25">
      <c r="A418" s="31" t="s">
        <v>78</v>
      </c>
      <c r="B418" s="22">
        <v>1</v>
      </c>
      <c r="C418" s="23">
        <v>1</v>
      </c>
      <c r="D418" s="32" t="s">
        <v>78</v>
      </c>
      <c r="E418" s="32">
        <v>1</v>
      </c>
      <c r="F418" s="24">
        <v>42.53</v>
      </c>
      <c r="G418" s="24">
        <f>979.2+H418</f>
        <v>1009.2</v>
      </c>
      <c r="H418" s="24">
        <v>30</v>
      </c>
      <c r="I418" s="91">
        <f>F418+G418-H418</f>
        <v>1021.73</v>
      </c>
      <c r="J418" s="139">
        <v>2760</v>
      </c>
      <c r="K418" s="140">
        <v>1289.1400000000001</v>
      </c>
      <c r="L418" s="13">
        <v>1</v>
      </c>
      <c r="M418" s="23">
        <v>1</v>
      </c>
      <c r="N418" s="13">
        <v>12</v>
      </c>
      <c r="O418" s="27">
        <f>+F418*L418*N418</f>
        <v>510.36</v>
      </c>
      <c r="P418" s="27">
        <f>G418*L418*N418</f>
        <v>12110.400000000001</v>
      </c>
      <c r="Q418" s="27">
        <f>J418*L418*N418</f>
        <v>33120</v>
      </c>
      <c r="R418" s="27">
        <f>K418*L418*N418</f>
        <v>15469.68</v>
      </c>
      <c r="S418" s="28">
        <f>IF(I418&lt;650,650*0.09,IF(I418&gt;650,I418*0.09))*12</f>
        <v>1103.4684</v>
      </c>
      <c r="T418" s="26">
        <f>400+600+(600*0.09)*L418</f>
        <v>1054</v>
      </c>
      <c r="U418" s="26">
        <f>SUM(O418:T418)</f>
        <v>63367.9084</v>
      </c>
      <c r="V418" s="86" t="s">
        <v>217</v>
      </c>
    </row>
    <row r="419" spans="1:24" x14ac:dyDescent="0.25">
      <c r="A419" s="31" t="s">
        <v>68</v>
      </c>
      <c r="B419" s="22">
        <v>1</v>
      </c>
      <c r="C419" s="23">
        <v>1</v>
      </c>
      <c r="D419" s="32" t="s">
        <v>68</v>
      </c>
      <c r="E419" s="32">
        <v>2</v>
      </c>
      <c r="F419" s="24">
        <v>23.86</v>
      </c>
      <c r="G419" s="24">
        <f>517.25+329</f>
        <v>846.25</v>
      </c>
      <c r="H419" s="24">
        <v>40</v>
      </c>
      <c r="I419" s="91">
        <f>F419+G419-H419</f>
        <v>830.11</v>
      </c>
      <c r="J419" s="139">
        <v>1400</v>
      </c>
      <c r="K419" s="140">
        <v>1287.1400000000001</v>
      </c>
      <c r="L419" s="13">
        <v>1</v>
      </c>
      <c r="M419" s="23">
        <v>1</v>
      </c>
      <c r="N419" s="13">
        <v>12</v>
      </c>
      <c r="O419" s="27">
        <f>+F419*L419*N419</f>
        <v>286.32</v>
      </c>
      <c r="P419" s="27">
        <f>G419*L419*N419</f>
        <v>10155</v>
      </c>
      <c r="Q419" s="27">
        <f>J419*L419*N419</f>
        <v>16800</v>
      </c>
      <c r="R419" s="27">
        <f>K419*L419*N419</f>
        <v>15445.68</v>
      </c>
      <c r="S419" s="28">
        <f>IF(I419&lt;650,650*0.09,IF(I419&gt;650,I419*0.09))*12</f>
        <v>896.51880000000006</v>
      </c>
      <c r="T419" s="26">
        <f>400+600+(600*0.09)*L419</f>
        <v>1054</v>
      </c>
      <c r="U419" s="26">
        <f>SUM(O419:T419)</f>
        <v>44637.518799999998</v>
      </c>
      <c r="V419" s="36" t="s">
        <v>103</v>
      </c>
    </row>
    <row r="420" spans="1:24" x14ac:dyDescent="0.25">
      <c r="A420" s="31"/>
      <c r="B420" s="22"/>
      <c r="C420" s="23"/>
      <c r="D420" s="32"/>
      <c r="E420" s="32"/>
      <c r="F420" s="32"/>
      <c r="G420" s="32"/>
      <c r="H420" s="70"/>
      <c r="I420" s="91"/>
      <c r="J420" s="139"/>
      <c r="K420" s="140"/>
      <c r="L420" s="13"/>
      <c r="M420" s="23"/>
      <c r="N420" s="13"/>
      <c r="O420" s="27"/>
      <c r="P420" s="27"/>
      <c r="Q420" s="27"/>
      <c r="R420" s="27"/>
      <c r="S420" s="27"/>
      <c r="T420" s="27"/>
      <c r="U420" s="26"/>
      <c r="V420" s="49"/>
    </row>
    <row r="421" spans="1:24" x14ac:dyDescent="0.25">
      <c r="A421" s="12"/>
      <c r="B421" s="42"/>
      <c r="C421" s="13"/>
      <c r="D421" s="14"/>
      <c r="E421" s="19"/>
      <c r="F421" s="19"/>
      <c r="G421" s="19"/>
      <c r="H421" s="19"/>
      <c r="I421" s="92"/>
      <c r="J421" s="139"/>
      <c r="K421" s="140"/>
      <c r="L421" s="42"/>
      <c r="M421" s="13"/>
      <c r="N421" s="44"/>
      <c r="O421" s="43"/>
      <c r="P421" s="43"/>
      <c r="Q421" s="43"/>
      <c r="R421" s="43"/>
      <c r="S421" s="43"/>
      <c r="T421" s="43"/>
      <c r="U421" s="43"/>
      <c r="V421" s="14"/>
    </row>
    <row r="422" spans="1:24" x14ac:dyDescent="0.25">
      <c r="A422" s="12"/>
      <c r="B422" s="42"/>
      <c r="C422" s="13"/>
      <c r="D422" s="68" t="s">
        <v>160</v>
      </c>
      <c r="E422" s="16"/>
      <c r="F422" s="17"/>
      <c r="G422" s="19"/>
      <c r="H422" s="19"/>
      <c r="I422" s="92"/>
      <c r="J422" s="139"/>
      <c r="K422" s="140"/>
      <c r="L422" s="42"/>
      <c r="M422" s="13"/>
      <c r="N422" s="44"/>
      <c r="O422" s="43"/>
      <c r="P422" s="43"/>
      <c r="Q422" s="43"/>
      <c r="R422" s="43"/>
      <c r="S422" s="43"/>
      <c r="T422" s="43"/>
      <c r="U422" s="43"/>
      <c r="V422" s="14"/>
    </row>
    <row r="423" spans="1:24" x14ac:dyDescent="0.25">
      <c r="A423" s="12"/>
      <c r="B423" s="42"/>
      <c r="C423" s="13"/>
      <c r="D423" s="68" t="s">
        <v>161</v>
      </c>
      <c r="E423" s="16"/>
      <c r="F423" s="17"/>
      <c r="G423" s="19"/>
      <c r="H423" s="19"/>
      <c r="I423" s="92"/>
      <c r="J423" s="139"/>
      <c r="K423" s="140"/>
      <c r="L423" s="42"/>
      <c r="M423" s="13"/>
      <c r="N423" s="44"/>
      <c r="O423" s="43"/>
      <c r="P423" s="43"/>
      <c r="Q423" s="43"/>
      <c r="R423" s="43"/>
      <c r="S423" s="43"/>
      <c r="T423" s="43"/>
      <c r="U423" s="43"/>
      <c r="V423" s="14"/>
    </row>
    <row r="424" spans="1:24" x14ac:dyDescent="0.25">
      <c r="A424" s="31" t="s">
        <v>55</v>
      </c>
      <c r="B424" s="22">
        <v>1</v>
      </c>
      <c r="C424" s="22">
        <v>1</v>
      </c>
      <c r="D424" s="32" t="s">
        <v>55</v>
      </c>
      <c r="E424" s="83">
        <v>3</v>
      </c>
      <c r="F424" s="24">
        <v>23.99</v>
      </c>
      <c r="G424" s="24">
        <f>518.8+H424</f>
        <v>563.79999999999995</v>
      </c>
      <c r="H424" s="24">
        <v>45</v>
      </c>
      <c r="I424" s="91">
        <f>F424+G424-H424</f>
        <v>542.79</v>
      </c>
      <c r="J424" s="139">
        <v>1400</v>
      </c>
      <c r="K424" s="140">
        <v>1287.1400000000001</v>
      </c>
      <c r="L424" s="22">
        <v>1</v>
      </c>
      <c r="M424" s="22">
        <v>1</v>
      </c>
      <c r="N424" s="13">
        <v>12</v>
      </c>
      <c r="O424" s="27">
        <f>+F424*L424*N424</f>
        <v>287.88</v>
      </c>
      <c r="P424" s="35">
        <f>G424*L424*N424</f>
        <v>6765.5999999999995</v>
      </c>
      <c r="Q424" s="27">
        <f>J424*L424*N424</f>
        <v>16800</v>
      </c>
      <c r="R424" s="27">
        <f>K424*L424*N424</f>
        <v>15445.68</v>
      </c>
      <c r="S424" s="28">
        <f>IF(I424&lt;650,650*0.09,IF(I424&gt;650,I424*0.09))*12</f>
        <v>702</v>
      </c>
      <c r="T424" s="26">
        <f>400+600+(600*0.09)*L424</f>
        <v>1054</v>
      </c>
      <c r="U424" s="26">
        <f>SUM(O424:T424)</f>
        <v>41055.160000000003</v>
      </c>
      <c r="V424" s="49" t="s">
        <v>162</v>
      </c>
    </row>
    <row r="425" spans="1:24" x14ac:dyDescent="0.25">
      <c r="A425" s="31"/>
      <c r="B425" s="22"/>
      <c r="C425" s="22"/>
      <c r="D425" s="32"/>
      <c r="E425" s="45"/>
      <c r="F425" s="24"/>
      <c r="G425" s="24"/>
      <c r="H425" s="24"/>
      <c r="I425" s="91"/>
      <c r="J425" s="140"/>
      <c r="K425" s="140"/>
      <c r="L425" s="13"/>
      <c r="M425" s="23"/>
      <c r="N425" s="13"/>
      <c r="O425" s="27"/>
      <c r="P425" s="35"/>
      <c r="Q425" s="27"/>
      <c r="R425" s="27"/>
      <c r="S425" s="28"/>
      <c r="T425" s="26"/>
      <c r="U425" s="26"/>
      <c r="V425" s="49"/>
    </row>
    <row r="426" spans="1:24" x14ac:dyDescent="0.25">
      <c r="A426" s="31"/>
      <c r="B426" s="22"/>
      <c r="C426" s="22"/>
      <c r="D426" s="68" t="s">
        <v>163</v>
      </c>
      <c r="E426" s="45"/>
      <c r="F426" s="32"/>
      <c r="G426" s="32"/>
      <c r="H426" s="32"/>
      <c r="I426" s="91"/>
      <c r="J426" s="140"/>
      <c r="K426" s="140"/>
      <c r="L426" s="13"/>
      <c r="M426" s="23"/>
      <c r="N426" s="13"/>
      <c r="O426" s="27"/>
      <c r="P426" s="35"/>
      <c r="Q426" s="27"/>
      <c r="R426" s="27"/>
      <c r="S426" s="27"/>
      <c r="T426" s="27"/>
      <c r="U426" s="27"/>
      <c r="V426" s="49"/>
    </row>
    <row r="427" spans="1:24" x14ac:dyDescent="0.25">
      <c r="A427" s="12"/>
      <c r="B427" s="42"/>
      <c r="C427" s="13"/>
      <c r="D427" s="73" t="s">
        <v>164</v>
      </c>
      <c r="E427" s="16"/>
      <c r="F427" s="17"/>
      <c r="G427" s="43"/>
      <c r="H427" s="43"/>
      <c r="I427" s="93"/>
      <c r="J427" s="140"/>
      <c r="K427" s="140"/>
      <c r="L427" s="42"/>
      <c r="M427" s="13"/>
      <c r="N427" s="44"/>
      <c r="O427" s="43"/>
      <c r="P427" s="43"/>
      <c r="Q427" s="43"/>
      <c r="R427" s="43"/>
      <c r="S427" s="43"/>
      <c r="T427" s="43"/>
      <c r="U427" s="43"/>
      <c r="V427" s="14"/>
    </row>
    <row r="428" spans="1:24" x14ac:dyDescent="0.25">
      <c r="A428" s="31" t="s">
        <v>65</v>
      </c>
      <c r="B428" s="22">
        <v>1</v>
      </c>
      <c r="C428" s="23">
        <v>0</v>
      </c>
      <c r="D428" s="32"/>
      <c r="E428" s="83"/>
      <c r="F428" s="24"/>
      <c r="G428" s="24"/>
      <c r="H428" s="24"/>
      <c r="I428" s="94"/>
      <c r="J428" s="142"/>
      <c r="K428" s="142"/>
      <c r="L428" s="22"/>
      <c r="M428" s="23"/>
      <c r="N428" s="23"/>
      <c r="O428" s="27"/>
      <c r="P428" s="35"/>
      <c r="Q428" s="27"/>
      <c r="R428" s="27"/>
      <c r="S428" s="41"/>
      <c r="T428" s="26"/>
      <c r="U428" s="26"/>
      <c r="V428" s="37"/>
      <c r="X428" s="136" t="s">
        <v>232</v>
      </c>
    </row>
    <row r="429" spans="1:24" x14ac:dyDescent="0.25">
      <c r="A429" s="31"/>
      <c r="B429" s="22"/>
      <c r="C429" s="23"/>
      <c r="D429" s="32"/>
      <c r="E429" s="45"/>
      <c r="F429" s="32"/>
      <c r="G429" s="32"/>
      <c r="H429" s="32"/>
      <c r="I429" s="33"/>
      <c r="J429" s="43"/>
      <c r="K429" s="72"/>
      <c r="L429" s="22"/>
      <c r="M429" s="23"/>
      <c r="N429" s="13"/>
      <c r="O429" s="27"/>
      <c r="P429" s="35"/>
      <c r="Q429" s="27"/>
      <c r="R429" s="27"/>
      <c r="S429" s="27"/>
      <c r="T429" s="27"/>
      <c r="U429" s="26"/>
      <c r="V429" s="37"/>
    </row>
    <row r="430" spans="1:24" x14ac:dyDescent="0.25">
      <c r="A430" s="31"/>
      <c r="B430" s="22"/>
      <c r="C430" s="23"/>
      <c r="D430" s="32"/>
      <c r="E430" s="45"/>
      <c r="F430" s="32"/>
      <c r="G430" s="32"/>
      <c r="H430" s="32"/>
      <c r="I430" s="33"/>
      <c r="J430" s="43"/>
      <c r="K430" s="72"/>
      <c r="L430" s="22"/>
      <c r="M430" s="23"/>
      <c r="N430" s="13"/>
      <c r="O430" s="27"/>
      <c r="P430" s="35"/>
      <c r="Q430" s="27"/>
      <c r="R430" s="27"/>
      <c r="S430" s="27"/>
      <c r="T430" s="27"/>
      <c r="U430" s="26"/>
      <c r="V430" s="37"/>
    </row>
    <row r="431" spans="1:24" x14ac:dyDescent="0.25">
      <c r="A431" s="31"/>
      <c r="B431" s="22"/>
      <c r="C431" s="23"/>
      <c r="D431" s="32"/>
      <c r="E431" s="45"/>
      <c r="F431" s="32"/>
      <c r="G431" s="32"/>
      <c r="H431" s="32"/>
      <c r="I431" s="33"/>
      <c r="J431" s="43"/>
      <c r="K431" s="72"/>
      <c r="L431" s="22"/>
      <c r="M431" s="23"/>
      <c r="N431" s="13"/>
      <c r="O431" s="27"/>
      <c r="P431" s="35"/>
      <c r="Q431" s="27"/>
      <c r="R431" s="27"/>
      <c r="S431" s="27"/>
      <c r="T431" s="27"/>
      <c r="U431" s="26"/>
      <c r="V431" s="37"/>
    </row>
    <row r="432" spans="1:24" x14ac:dyDescent="0.25">
      <c r="A432" s="31"/>
      <c r="B432" s="22"/>
      <c r="C432" s="23"/>
      <c r="D432" s="32"/>
      <c r="E432" s="45"/>
      <c r="F432" s="32"/>
      <c r="G432" s="32"/>
      <c r="H432" s="32"/>
      <c r="I432" s="33"/>
      <c r="J432" s="43"/>
      <c r="K432" s="72"/>
      <c r="L432" s="22"/>
      <c r="M432" s="23"/>
      <c r="N432" s="13"/>
      <c r="O432" s="27"/>
      <c r="P432" s="35"/>
      <c r="Q432" s="27"/>
      <c r="R432" s="27"/>
      <c r="S432" s="27"/>
      <c r="T432" s="27"/>
      <c r="U432" s="26"/>
      <c r="V432" s="37"/>
    </row>
    <row r="433" spans="1:22" x14ac:dyDescent="0.25">
      <c r="A433" s="31"/>
      <c r="B433" s="22"/>
      <c r="C433" s="23"/>
      <c r="D433" s="32"/>
      <c r="E433" s="45"/>
      <c r="F433" s="32"/>
      <c r="G433" s="32"/>
      <c r="H433" s="32"/>
      <c r="I433" s="33"/>
      <c r="J433" s="43"/>
      <c r="K433" s="72"/>
      <c r="L433" s="22"/>
      <c r="M433" s="23"/>
      <c r="N433" s="13"/>
      <c r="O433" s="27"/>
      <c r="P433" s="35"/>
      <c r="Q433" s="27"/>
      <c r="R433" s="27"/>
      <c r="S433" s="27"/>
      <c r="T433" s="27"/>
      <c r="U433" s="26"/>
      <c r="V433" s="37"/>
    </row>
    <row r="434" spans="1:22" x14ac:dyDescent="0.25">
      <c r="A434" s="31"/>
      <c r="B434" s="22"/>
      <c r="C434" s="23"/>
      <c r="D434" s="32"/>
      <c r="E434" s="45"/>
      <c r="F434" s="32"/>
      <c r="G434" s="32"/>
      <c r="H434" s="32"/>
      <c r="I434" s="33"/>
      <c r="J434" s="43"/>
      <c r="K434" s="72"/>
      <c r="L434" s="22"/>
      <c r="M434" s="23"/>
      <c r="N434" s="13"/>
      <c r="O434" s="27"/>
      <c r="P434" s="35"/>
      <c r="Q434" s="27"/>
      <c r="R434" s="27"/>
      <c r="S434" s="27"/>
      <c r="T434" s="27"/>
      <c r="U434" s="26"/>
      <c r="V434" s="37"/>
    </row>
    <row r="435" spans="1:22" x14ac:dyDescent="0.25">
      <c r="A435" s="31"/>
      <c r="B435" s="22"/>
      <c r="C435" s="23"/>
      <c r="D435" s="32"/>
      <c r="E435" s="45"/>
      <c r="F435" s="32"/>
      <c r="G435" s="32"/>
      <c r="H435" s="32"/>
      <c r="I435" s="33"/>
      <c r="J435" s="43"/>
      <c r="K435" s="72"/>
      <c r="L435" s="22"/>
      <c r="M435" s="23"/>
      <c r="N435" s="13"/>
      <c r="O435" s="27"/>
      <c r="P435" s="35"/>
      <c r="Q435" s="27"/>
      <c r="R435" s="27"/>
      <c r="S435" s="27"/>
      <c r="T435" s="27"/>
      <c r="U435" s="26"/>
      <c r="V435" s="37"/>
    </row>
    <row r="436" spans="1:22" x14ac:dyDescent="0.25">
      <c r="A436" s="31"/>
      <c r="B436" s="22"/>
      <c r="C436" s="23"/>
      <c r="D436" s="32"/>
      <c r="E436" s="45"/>
      <c r="F436" s="32"/>
      <c r="G436" s="32"/>
      <c r="H436" s="32"/>
      <c r="I436" s="33"/>
      <c r="J436" s="43"/>
      <c r="K436" s="72"/>
      <c r="L436" s="22"/>
      <c r="M436" s="23"/>
      <c r="N436" s="13"/>
      <c r="O436" s="27"/>
      <c r="P436" s="35"/>
      <c r="Q436" s="27"/>
      <c r="R436" s="27"/>
      <c r="S436" s="27"/>
      <c r="T436" s="27"/>
      <c r="U436" s="26"/>
      <c r="V436" s="37"/>
    </row>
    <row r="437" spans="1:22" x14ac:dyDescent="0.25">
      <c r="A437" s="31"/>
      <c r="B437" s="22"/>
      <c r="C437" s="23"/>
      <c r="D437" s="32"/>
      <c r="E437" s="45"/>
      <c r="F437" s="32"/>
      <c r="G437" s="32"/>
      <c r="H437" s="32"/>
      <c r="I437" s="33"/>
      <c r="J437" s="43"/>
      <c r="K437" s="72"/>
      <c r="L437" s="22"/>
      <c r="M437" s="23"/>
      <c r="N437" s="13"/>
      <c r="O437" s="27"/>
      <c r="P437" s="35"/>
      <c r="Q437" s="27"/>
      <c r="R437" s="27"/>
      <c r="S437" s="27"/>
      <c r="T437" s="27"/>
      <c r="U437" s="26"/>
      <c r="V437" s="37"/>
    </row>
    <row r="438" spans="1:22" x14ac:dyDescent="0.25">
      <c r="A438" s="31"/>
      <c r="B438" s="22"/>
      <c r="C438" s="23"/>
      <c r="D438" s="32"/>
      <c r="E438" s="45"/>
      <c r="F438" s="32"/>
      <c r="G438" s="32"/>
      <c r="H438" s="32"/>
      <c r="I438" s="33"/>
      <c r="J438" s="43"/>
      <c r="K438" s="72"/>
      <c r="L438" s="22"/>
      <c r="M438" s="23"/>
      <c r="N438" s="13"/>
      <c r="O438" s="27"/>
      <c r="P438" s="35"/>
      <c r="Q438" s="27"/>
      <c r="R438" s="27"/>
      <c r="S438" s="27"/>
      <c r="T438" s="27"/>
      <c r="U438" s="26"/>
      <c r="V438" s="37"/>
    </row>
    <row r="439" spans="1:22" x14ac:dyDescent="0.25">
      <c r="A439" s="31"/>
      <c r="B439" s="22"/>
      <c r="C439" s="23"/>
      <c r="D439" s="32"/>
      <c r="E439" s="45"/>
      <c r="F439" s="32"/>
      <c r="G439" s="32"/>
      <c r="H439" s="32"/>
      <c r="I439" s="33"/>
      <c r="J439" s="43"/>
      <c r="K439" s="72"/>
      <c r="L439" s="22"/>
      <c r="M439" s="23"/>
      <c r="N439" s="13"/>
      <c r="O439" s="27"/>
      <c r="P439" s="35"/>
      <c r="Q439" s="27"/>
      <c r="R439" s="27"/>
      <c r="S439" s="27"/>
      <c r="T439" s="27"/>
      <c r="U439" s="26"/>
      <c r="V439" s="37"/>
    </row>
    <row r="440" spans="1:22" x14ac:dyDescent="0.25">
      <c r="A440" s="31"/>
      <c r="B440" s="22"/>
      <c r="C440" s="23"/>
      <c r="D440" s="32"/>
      <c r="E440" s="45"/>
      <c r="F440" s="32"/>
      <c r="G440" s="32"/>
      <c r="H440" s="32"/>
      <c r="I440" s="33"/>
      <c r="J440" s="43"/>
      <c r="K440" s="72"/>
      <c r="L440" s="22"/>
      <c r="M440" s="23"/>
      <c r="N440" s="13"/>
      <c r="O440" s="27"/>
      <c r="P440" s="35"/>
      <c r="Q440" s="27"/>
      <c r="R440" s="27"/>
      <c r="S440" s="27"/>
      <c r="T440" s="27"/>
      <c r="U440" s="26"/>
      <c r="V440" s="37"/>
    </row>
    <row r="441" spans="1:22" x14ac:dyDescent="0.25">
      <c r="A441" s="31"/>
      <c r="B441" s="22"/>
      <c r="C441" s="23"/>
      <c r="D441" s="32"/>
      <c r="E441" s="45"/>
      <c r="F441" s="32"/>
      <c r="G441" s="32"/>
      <c r="H441" s="32"/>
      <c r="I441" s="33"/>
      <c r="J441" s="43"/>
      <c r="K441" s="72"/>
      <c r="L441" s="22"/>
      <c r="M441" s="23"/>
      <c r="N441" s="13"/>
      <c r="O441" s="27"/>
      <c r="P441" s="35"/>
      <c r="Q441" s="27"/>
      <c r="R441" s="27"/>
      <c r="S441" s="27"/>
      <c r="T441" s="27"/>
      <c r="U441" s="26"/>
      <c r="V441" s="37"/>
    </row>
    <row r="442" spans="1:22" x14ac:dyDescent="0.25">
      <c r="A442" s="31"/>
      <c r="B442" s="22"/>
      <c r="C442" s="23"/>
      <c r="D442" s="32"/>
      <c r="E442" s="45"/>
      <c r="F442" s="32"/>
      <c r="G442" s="32"/>
      <c r="H442" s="32"/>
      <c r="I442" s="33"/>
      <c r="J442" s="43"/>
      <c r="K442" s="72"/>
      <c r="L442" s="22"/>
      <c r="M442" s="23"/>
      <c r="N442" s="13"/>
      <c r="O442" s="27"/>
      <c r="P442" s="35"/>
      <c r="Q442" s="27"/>
      <c r="R442" s="27"/>
      <c r="S442" s="27"/>
      <c r="T442" s="27"/>
      <c r="U442" s="26"/>
      <c r="V442" s="37"/>
    </row>
    <row r="443" spans="1:22" x14ac:dyDescent="0.25">
      <c r="A443" s="31"/>
      <c r="B443" s="22"/>
      <c r="C443" s="23"/>
      <c r="D443" s="32"/>
      <c r="E443" s="45"/>
      <c r="F443" s="32"/>
      <c r="G443" s="32"/>
      <c r="H443" s="32"/>
      <c r="I443" s="33"/>
      <c r="J443" s="43"/>
      <c r="K443" s="72"/>
      <c r="L443" s="22"/>
      <c r="M443" s="23"/>
      <c r="N443" s="13"/>
      <c r="O443" s="27"/>
      <c r="P443" s="35"/>
      <c r="Q443" s="27"/>
      <c r="R443" s="27"/>
      <c r="S443" s="27"/>
      <c r="T443" s="27"/>
      <c r="U443" s="26"/>
      <c r="V443" s="37"/>
    </row>
    <row r="444" spans="1:22" x14ac:dyDescent="0.25">
      <c r="A444" s="31"/>
      <c r="B444" s="22"/>
      <c r="C444" s="23"/>
      <c r="D444" s="32"/>
      <c r="E444" s="45"/>
      <c r="F444" s="32"/>
      <c r="G444" s="32"/>
      <c r="H444" s="32"/>
      <c r="I444" s="33"/>
      <c r="J444" s="43"/>
      <c r="K444" s="72"/>
      <c r="L444" s="22"/>
      <c r="M444" s="23"/>
      <c r="N444" s="13"/>
      <c r="O444" s="27"/>
      <c r="P444" s="35"/>
      <c r="Q444" s="27"/>
      <c r="R444" s="27"/>
      <c r="S444" s="27"/>
      <c r="T444" s="27"/>
      <c r="U444" s="26"/>
      <c r="V444" s="37"/>
    </row>
    <row r="445" spans="1:22" x14ac:dyDescent="0.25">
      <c r="A445" s="31"/>
      <c r="B445" s="22"/>
      <c r="C445" s="23"/>
      <c r="D445" s="32"/>
      <c r="E445" s="45"/>
      <c r="F445" s="32"/>
      <c r="G445" s="32"/>
      <c r="H445" s="32"/>
      <c r="I445" s="33"/>
      <c r="J445" s="43"/>
      <c r="K445" s="72"/>
      <c r="L445" s="22"/>
      <c r="M445" s="23"/>
      <c r="N445" s="13"/>
      <c r="O445" s="27"/>
      <c r="P445" s="35"/>
      <c r="Q445" s="27"/>
      <c r="R445" s="27"/>
      <c r="S445" s="27"/>
      <c r="T445" s="27"/>
      <c r="U445" s="26"/>
      <c r="V445" s="37"/>
    </row>
    <row r="446" spans="1:22" x14ac:dyDescent="0.25">
      <c r="A446" s="31"/>
      <c r="B446" s="22"/>
      <c r="C446" s="23"/>
      <c r="D446" s="32"/>
      <c r="E446" s="45"/>
      <c r="F446" s="32"/>
      <c r="G446" s="32"/>
      <c r="H446" s="32"/>
      <c r="I446" s="33"/>
      <c r="J446" s="43"/>
      <c r="K446" s="72"/>
      <c r="L446" s="22"/>
      <c r="M446" s="23"/>
      <c r="N446" s="13"/>
      <c r="O446" s="27"/>
      <c r="P446" s="35"/>
      <c r="Q446" s="27"/>
      <c r="R446" s="27"/>
      <c r="S446" s="27"/>
      <c r="T446" s="27"/>
      <c r="U446" s="26"/>
      <c r="V446" s="37"/>
    </row>
    <row r="447" spans="1:22" x14ac:dyDescent="0.25">
      <c r="A447" s="31"/>
      <c r="B447" s="22"/>
      <c r="C447" s="23"/>
      <c r="D447" s="32"/>
      <c r="E447" s="45"/>
      <c r="F447" s="32"/>
      <c r="G447" s="32"/>
      <c r="H447" s="32"/>
      <c r="I447" s="33"/>
      <c r="J447" s="43"/>
      <c r="K447" s="72"/>
      <c r="L447" s="22"/>
      <c r="M447" s="23"/>
      <c r="N447" s="13"/>
      <c r="O447" s="27"/>
      <c r="P447" s="35"/>
      <c r="Q447" s="27"/>
      <c r="R447" s="27"/>
      <c r="S447" s="27"/>
      <c r="T447" s="27"/>
      <c r="U447" s="26"/>
      <c r="V447" s="37"/>
    </row>
    <row r="448" spans="1:22" x14ac:dyDescent="0.25">
      <c r="A448" s="31"/>
      <c r="B448" s="22"/>
      <c r="C448" s="23"/>
      <c r="D448" s="32"/>
      <c r="E448" s="45"/>
      <c r="F448" s="32"/>
      <c r="G448" s="32"/>
      <c r="H448" s="32"/>
      <c r="I448" s="33"/>
      <c r="J448" s="43"/>
      <c r="K448" s="72"/>
      <c r="L448" s="22"/>
      <c r="M448" s="23"/>
      <c r="N448" s="13"/>
      <c r="O448" s="27"/>
      <c r="P448" s="35"/>
      <c r="Q448" s="27"/>
      <c r="R448" s="27"/>
      <c r="S448" s="27"/>
      <c r="T448" s="27"/>
      <c r="U448" s="26"/>
      <c r="V448" s="37"/>
    </row>
    <row r="449" spans="1:22" x14ac:dyDescent="0.25">
      <c r="A449" s="31"/>
      <c r="B449" s="22"/>
      <c r="C449" s="23"/>
      <c r="D449" s="32"/>
      <c r="E449" s="45"/>
      <c r="F449" s="32"/>
      <c r="G449" s="32"/>
      <c r="H449" s="32"/>
      <c r="I449" s="33"/>
      <c r="J449" s="43"/>
      <c r="K449" s="72"/>
      <c r="L449" s="22"/>
      <c r="M449" s="23"/>
      <c r="N449" s="13"/>
      <c r="O449" s="27"/>
      <c r="P449" s="35"/>
      <c r="Q449" s="27"/>
      <c r="R449" s="27"/>
      <c r="S449" s="27"/>
      <c r="T449" s="27"/>
      <c r="U449" s="26"/>
      <c r="V449" s="37"/>
    </row>
    <row r="450" spans="1:22" x14ac:dyDescent="0.25">
      <c r="A450" s="31"/>
      <c r="B450" s="22"/>
      <c r="C450" s="23"/>
      <c r="D450" s="32"/>
      <c r="E450" s="45"/>
      <c r="F450" s="32"/>
      <c r="G450" s="32"/>
      <c r="H450" s="32"/>
      <c r="I450" s="33"/>
      <c r="J450" s="43"/>
      <c r="K450" s="72"/>
      <c r="L450" s="22"/>
      <c r="M450" s="23"/>
      <c r="N450" s="13"/>
      <c r="O450" s="27"/>
      <c r="P450" s="35"/>
      <c r="Q450" s="27"/>
      <c r="R450" s="27"/>
      <c r="S450" s="27"/>
      <c r="T450" s="27"/>
      <c r="U450" s="26"/>
      <c r="V450" s="37"/>
    </row>
    <row r="451" spans="1:22" x14ac:dyDescent="0.25">
      <c r="A451" s="31"/>
      <c r="B451" s="22"/>
      <c r="C451" s="23"/>
      <c r="D451" s="32"/>
      <c r="E451" s="45"/>
      <c r="F451" s="32"/>
      <c r="G451" s="32"/>
      <c r="H451" s="32"/>
      <c r="I451" s="33"/>
      <c r="J451" s="43"/>
      <c r="K451" s="72"/>
      <c r="L451" s="22"/>
      <c r="M451" s="23"/>
      <c r="N451" s="13"/>
      <c r="O451" s="27"/>
      <c r="P451" s="35"/>
      <c r="Q451" s="27"/>
      <c r="R451" s="27"/>
      <c r="S451" s="27"/>
      <c r="T451" s="27"/>
      <c r="U451" s="26"/>
      <c r="V451" s="37"/>
    </row>
    <row r="452" spans="1:22" x14ac:dyDescent="0.25">
      <c r="A452" s="31"/>
      <c r="B452" s="22"/>
      <c r="C452" s="23"/>
      <c r="D452" s="32"/>
      <c r="E452" s="45"/>
      <c r="F452" s="32"/>
      <c r="G452" s="32"/>
      <c r="H452" s="32"/>
      <c r="I452" s="33"/>
      <c r="J452" s="43"/>
      <c r="K452" s="72"/>
      <c r="L452" s="22"/>
      <c r="M452" s="23"/>
      <c r="N452" s="13"/>
      <c r="O452" s="27"/>
      <c r="P452" s="35"/>
      <c r="Q452" s="27"/>
      <c r="R452" s="27"/>
      <c r="S452" s="27"/>
      <c r="T452" s="27"/>
      <c r="U452" s="26"/>
      <c r="V452" s="37"/>
    </row>
    <row r="453" spans="1:22" x14ac:dyDescent="0.25">
      <c r="A453" s="31"/>
      <c r="B453" s="22"/>
      <c r="C453" s="23"/>
      <c r="D453" s="32"/>
      <c r="E453" s="45"/>
      <c r="F453" s="32"/>
      <c r="G453" s="32"/>
      <c r="H453" s="32"/>
      <c r="I453" s="33"/>
      <c r="J453" s="43"/>
      <c r="K453" s="72"/>
      <c r="L453" s="22"/>
      <c r="M453" s="23"/>
      <c r="N453" s="13"/>
      <c r="O453" s="27"/>
      <c r="P453" s="35"/>
      <c r="Q453" s="27"/>
      <c r="R453" s="27"/>
      <c r="S453" s="27"/>
      <c r="T453" s="27"/>
      <c r="U453" s="26"/>
      <c r="V453" s="37"/>
    </row>
    <row r="454" spans="1:22" x14ac:dyDescent="0.25">
      <c r="A454" s="31"/>
      <c r="B454" s="22"/>
      <c r="C454" s="23"/>
      <c r="D454" s="32"/>
      <c r="E454" s="45"/>
      <c r="F454" s="32"/>
      <c r="G454" s="32"/>
      <c r="H454" s="32"/>
      <c r="I454" s="33"/>
      <c r="J454" s="43"/>
      <c r="K454" s="72"/>
      <c r="L454" s="22"/>
      <c r="M454" s="23"/>
      <c r="N454" s="13"/>
      <c r="O454" s="27"/>
      <c r="P454" s="35"/>
      <c r="Q454" s="27"/>
      <c r="R454" s="27"/>
      <c r="S454" s="27"/>
      <c r="T454" s="27"/>
      <c r="U454" s="26"/>
      <c r="V454" s="37"/>
    </row>
    <row r="455" spans="1:22" x14ac:dyDescent="0.25">
      <c r="A455" s="31"/>
      <c r="B455" s="22"/>
      <c r="C455" s="23"/>
      <c r="D455" s="32"/>
      <c r="E455" s="45"/>
      <c r="F455" s="32"/>
      <c r="G455" s="32"/>
      <c r="H455" s="32"/>
      <c r="I455" s="33"/>
      <c r="J455" s="43"/>
      <c r="K455" s="72"/>
      <c r="L455" s="22"/>
      <c r="M455" s="23"/>
      <c r="N455" s="13"/>
      <c r="O455" s="27"/>
      <c r="P455" s="35"/>
      <c r="Q455" s="27"/>
      <c r="R455" s="27"/>
      <c r="S455" s="27"/>
      <c r="T455" s="27"/>
      <c r="U455" s="26"/>
      <c r="V455" s="37"/>
    </row>
    <row r="456" spans="1:22" x14ac:dyDescent="0.25">
      <c r="A456" s="31"/>
      <c r="B456" s="22"/>
      <c r="C456" s="23"/>
      <c r="D456" s="32"/>
      <c r="E456" s="45"/>
      <c r="F456" s="32"/>
      <c r="G456" s="32"/>
      <c r="H456" s="32"/>
      <c r="I456" s="33"/>
      <c r="J456" s="43"/>
      <c r="K456" s="72"/>
      <c r="L456" s="22"/>
      <c r="M456" s="23"/>
      <c r="N456" s="13"/>
      <c r="O456" s="27"/>
      <c r="P456" s="35"/>
      <c r="Q456" s="27"/>
      <c r="R456" s="27"/>
      <c r="S456" s="27"/>
      <c r="T456" s="27"/>
      <c r="U456" s="26"/>
      <c r="V456" s="37"/>
    </row>
    <row r="457" spans="1:22" x14ac:dyDescent="0.25">
      <c r="A457" s="31"/>
      <c r="B457" s="22"/>
      <c r="C457" s="23"/>
      <c r="D457" s="32"/>
      <c r="E457" s="45"/>
      <c r="F457" s="32"/>
      <c r="G457" s="32"/>
      <c r="H457" s="32"/>
      <c r="I457" s="33"/>
      <c r="J457" s="43"/>
      <c r="K457" s="72"/>
      <c r="L457" s="22"/>
      <c r="M457" s="23"/>
      <c r="N457" s="13"/>
      <c r="O457" s="27"/>
      <c r="P457" s="35"/>
      <c r="Q457" s="27"/>
      <c r="R457" s="27"/>
      <c r="S457" s="27"/>
      <c r="T457" s="27"/>
      <c r="U457" s="26"/>
      <c r="V457" s="37"/>
    </row>
    <row r="458" spans="1:22" x14ac:dyDescent="0.25">
      <c r="A458" s="31"/>
      <c r="B458" s="22"/>
      <c r="C458" s="23"/>
      <c r="D458" s="32"/>
      <c r="E458" s="45"/>
      <c r="F458" s="24"/>
      <c r="G458" s="24"/>
      <c r="H458" s="24"/>
      <c r="I458" s="33"/>
      <c r="J458" s="43"/>
      <c r="K458" s="72"/>
      <c r="L458" s="22"/>
      <c r="M458" s="23"/>
      <c r="N458" s="13"/>
      <c r="O458" s="27"/>
      <c r="P458" s="35"/>
      <c r="Q458" s="27"/>
      <c r="R458" s="27"/>
      <c r="S458" s="28"/>
      <c r="T458" s="26"/>
      <c r="U458" s="26"/>
      <c r="V458" s="37"/>
    </row>
    <row r="459" spans="1:22" x14ac:dyDescent="0.25">
      <c r="A459" s="31"/>
      <c r="B459" s="22"/>
      <c r="C459" s="23"/>
      <c r="D459" s="32"/>
      <c r="E459" s="45"/>
      <c r="F459" s="24"/>
      <c r="G459" s="24"/>
      <c r="H459" s="24"/>
      <c r="I459" s="25"/>
      <c r="J459" s="43"/>
      <c r="K459" s="43"/>
      <c r="L459" s="22"/>
      <c r="M459" s="23"/>
      <c r="N459" s="13"/>
      <c r="O459" s="27"/>
      <c r="P459" s="35"/>
      <c r="Q459" s="27"/>
      <c r="R459" s="27"/>
      <c r="S459" s="28"/>
      <c r="T459" s="26"/>
      <c r="U459" s="26"/>
      <c r="V459" s="37"/>
    </row>
    <row r="460" spans="1:22" x14ac:dyDescent="0.25">
      <c r="A460" s="31"/>
      <c r="B460" s="22"/>
      <c r="C460" s="23"/>
      <c r="D460" s="32"/>
      <c r="E460" s="14"/>
      <c r="F460" s="29"/>
      <c r="G460" s="43"/>
      <c r="H460" s="43"/>
      <c r="I460" s="43"/>
      <c r="J460" s="43"/>
      <c r="K460" s="43"/>
      <c r="L460" s="22"/>
      <c r="M460" s="23"/>
      <c r="N460" s="13"/>
      <c r="O460" s="43"/>
      <c r="P460" s="43"/>
      <c r="Q460" s="43"/>
      <c r="R460" s="43"/>
      <c r="S460" s="43"/>
      <c r="T460" s="43"/>
      <c r="U460" s="43"/>
      <c r="V460" s="37"/>
    </row>
    <row r="461" spans="1:22" x14ac:dyDescent="0.25">
      <c r="A461" s="56"/>
      <c r="B461" s="57"/>
      <c r="C461" s="57"/>
      <c r="D461" s="57"/>
      <c r="E461" s="58"/>
      <c r="F461" s="58"/>
      <c r="G461" s="58"/>
      <c r="H461" s="58"/>
      <c r="I461" s="58"/>
      <c r="J461" s="58"/>
      <c r="K461" s="58"/>
      <c r="L461" s="57"/>
      <c r="M461" s="57"/>
      <c r="N461" s="57"/>
      <c r="O461" s="58"/>
      <c r="P461" s="58"/>
      <c r="Q461" s="58"/>
      <c r="R461" s="58"/>
      <c r="S461" s="58"/>
      <c r="T461" s="58"/>
      <c r="U461" s="58"/>
      <c r="V461" s="58"/>
    </row>
    <row r="462" spans="1:22" ht="21.75" customHeight="1" x14ac:dyDescent="0.25">
      <c r="A462" s="59" t="s">
        <v>22</v>
      </c>
      <c r="B462" s="60">
        <f>SUM(B418:B461)</f>
        <v>4</v>
      </c>
      <c r="C462" s="60">
        <f>SUM(C418:C461)</f>
        <v>3</v>
      </c>
      <c r="D462" s="89"/>
      <c r="E462" s="90"/>
      <c r="F462" s="63">
        <f>O462/12</f>
        <v>90.38</v>
      </c>
      <c r="G462" s="63">
        <f>P462/12</f>
        <v>2419.25</v>
      </c>
      <c r="H462" s="63"/>
      <c r="I462" s="63"/>
      <c r="J462" s="63">
        <f>Q462/12</f>
        <v>5560</v>
      </c>
      <c r="K462" s="63">
        <f>R462/12</f>
        <v>3863.42</v>
      </c>
      <c r="L462" s="60">
        <f>SUM(L418:L461)</f>
        <v>3</v>
      </c>
      <c r="M462" s="60">
        <f>SUM(M418:M461)</f>
        <v>3</v>
      </c>
      <c r="N462" s="64"/>
      <c r="O462" s="65">
        <f t="shared" ref="O462:U462" si="59">SUM(O418:O461)</f>
        <v>1084.56</v>
      </c>
      <c r="P462" s="65">
        <f t="shared" si="59"/>
        <v>29031</v>
      </c>
      <c r="Q462" s="65">
        <f t="shared" si="59"/>
        <v>66720</v>
      </c>
      <c r="R462" s="65">
        <f t="shared" si="59"/>
        <v>46361.04</v>
      </c>
      <c r="S462" s="65">
        <f t="shared" si="59"/>
        <v>2701.9872</v>
      </c>
      <c r="T462" s="65">
        <f t="shared" si="59"/>
        <v>3162</v>
      </c>
      <c r="U462" s="65">
        <f t="shared" si="59"/>
        <v>149060.58720000001</v>
      </c>
      <c r="V462" s="66"/>
    </row>
    <row r="464" spans="1:22" x14ac:dyDescent="0.25">
      <c r="Q464" s="132">
        <v>113081</v>
      </c>
      <c r="R464" s="148">
        <f>SUM(Q462:R462)</f>
        <v>113081.04000000001</v>
      </c>
    </row>
    <row r="468" spans="1:22" ht="15" x14ac:dyDescent="0.25">
      <c r="A468" s="1" t="s">
        <v>0</v>
      </c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" x14ac:dyDescent="0.25">
      <c r="A469" s="151" t="s">
        <v>1</v>
      </c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</row>
    <row r="470" spans="1:22" ht="15" x14ac:dyDescent="0.25">
      <c r="A470" s="2" t="s">
        <v>2</v>
      </c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3"/>
      <c r="V470" s="5"/>
    </row>
    <row r="471" spans="1:22" ht="15" x14ac:dyDescent="0.25">
      <c r="A471" s="152" t="s">
        <v>3</v>
      </c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</row>
    <row r="472" spans="1:22" ht="1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3"/>
      <c r="V472" s="3"/>
    </row>
    <row r="473" spans="1:22" ht="15" x14ac:dyDescent="0.25">
      <c r="A473" s="2" t="s">
        <v>4</v>
      </c>
      <c r="B473" s="2"/>
      <c r="C473" s="2"/>
      <c r="D473" s="6"/>
      <c r="E473" s="2"/>
      <c r="F473" s="2"/>
      <c r="G473" s="2"/>
      <c r="H473" s="2"/>
      <c r="I473" s="2"/>
      <c r="J473" s="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" x14ac:dyDescent="0.25">
      <c r="A474" s="2" t="s">
        <v>5</v>
      </c>
      <c r="B474" s="2"/>
      <c r="C474" s="2"/>
      <c r="D474" s="6"/>
      <c r="E474" s="2"/>
      <c r="F474" s="2"/>
      <c r="G474" s="2"/>
      <c r="H474" s="2"/>
      <c r="I474" s="2"/>
      <c r="J474" s="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" x14ac:dyDescent="0.25">
      <c r="A475" s="2" t="s">
        <v>220</v>
      </c>
      <c r="B475" s="2"/>
      <c r="C475" s="2"/>
      <c r="D475" s="6"/>
      <c r="E475" s="2"/>
      <c r="F475" s="2"/>
      <c r="G475" s="2"/>
      <c r="H475" s="2"/>
      <c r="I475" s="2"/>
      <c r="J475" s="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7"/>
    </row>
    <row r="476" spans="1:22" ht="15" x14ac:dyDescent="0.25">
      <c r="A476" s="2" t="s">
        <v>165</v>
      </c>
      <c r="B476" s="2"/>
      <c r="C476" s="2"/>
      <c r="D476" s="6"/>
      <c r="E476" s="2"/>
      <c r="F476" s="2"/>
      <c r="G476" s="2"/>
      <c r="H476" s="2"/>
      <c r="I476" s="2"/>
      <c r="J476" s="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7" t="s">
        <v>310</v>
      </c>
    </row>
    <row r="477" spans="1:22" ht="15" x14ac:dyDescent="0.25">
      <c r="A477" s="2"/>
      <c r="B477" s="2"/>
      <c r="C477" s="2"/>
      <c r="D477" s="6"/>
      <c r="E477" s="2"/>
      <c r="F477" s="2"/>
      <c r="G477" s="2"/>
      <c r="H477" s="2"/>
      <c r="I477" s="2"/>
      <c r="J477" s="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x14ac:dyDescent="0.25">
      <c r="A478" s="153" t="s">
        <v>7</v>
      </c>
      <c r="B478" s="153"/>
      <c r="C478" s="153"/>
      <c r="D478" s="154" t="s">
        <v>309</v>
      </c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17"/>
    </row>
    <row r="479" spans="1:22" x14ac:dyDescent="0.25">
      <c r="A479" s="149" t="s">
        <v>311</v>
      </c>
      <c r="B479" s="149"/>
      <c r="C479" s="149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9" t="s">
        <v>8</v>
      </c>
    </row>
    <row r="480" spans="1:22" x14ac:dyDescent="0.25">
      <c r="A480" s="120"/>
      <c r="B480" s="155" t="s">
        <v>10</v>
      </c>
      <c r="C480" s="155"/>
      <c r="D480" s="120" t="s">
        <v>9</v>
      </c>
      <c r="E480" s="120" t="s">
        <v>11</v>
      </c>
      <c r="F480" s="156" t="s">
        <v>12</v>
      </c>
      <c r="G480" s="156"/>
      <c r="H480" s="156"/>
      <c r="I480" s="156"/>
      <c r="J480" s="156"/>
      <c r="K480" s="156"/>
      <c r="L480" s="155" t="s">
        <v>10</v>
      </c>
      <c r="M480" s="155"/>
      <c r="N480" s="120" t="s">
        <v>13</v>
      </c>
      <c r="O480" s="150" t="s">
        <v>14</v>
      </c>
      <c r="P480" s="150"/>
      <c r="Q480" s="150"/>
      <c r="R480" s="150"/>
      <c r="S480" s="150"/>
      <c r="T480" s="150"/>
      <c r="U480" s="121"/>
      <c r="V480" s="119" t="s">
        <v>15</v>
      </c>
    </row>
    <row r="481" spans="1:22" x14ac:dyDescent="0.25">
      <c r="A481" s="119" t="s">
        <v>16</v>
      </c>
      <c r="B481" s="149" t="s">
        <v>17</v>
      </c>
      <c r="C481" s="149"/>
      <c r="D481" s="119" t="s">
        <v>16</v>
      </c>
      <c r="E481" s="119" t="s">
        <v>18</v>
      </c>
      <c r="F481" s="118"/>
      <c r="G481" s="118"/>
      <c r="H481" s="118"/>
      <c r="I481" s="118"/>
      <c r="J481" s="118"/>
      <c r="K481" s="118"/>
      <c r="L481" s="149" t="s">
        <v>17</v>
      </c>
      <c r="M481" s="149"/>
      <c r="N481" s="119" t="s">
        <v>19</v>
      </c>
      <c r="O481" s="150" t="s">
        <v>20</v>
      </c>
      <c r="P481" s="150"/>
      <c r="Q481" s="150"/>
      <c r="R481" s="150"/>
      <c r="S481" s="150"/>
      <c r="T481" s="122" t="s">
        <v>21</v>
      </c>
      <c r="U481" s="123" t="s">
        <v>22</v>
      </c>
      <c r="V481" s="119" t="s">
        <v>23</v>
      </c>
    </row>
    <row r="482" spans="1:22" x14ac:dyDescent="0.25">
      <c r="A482" s="119" t="s">
        <v>24</v>
      </c>
      <c r="B482" s="120" t="s">
        <v>25</v>
      </c>
      <c r="C482" s="120" t="s">
        <v>26</v>
      </c>
      <c r="D482" s="119" t="s">
        <v>24</v>
      </c>
      <c r="E482" s="119" t="s">
        <v>27</v>
      </c>
      <c r="F482" s="120" t="s">
        <v>28</v>
      </c>
      <c r="G482" s="124" t="s">
        <v>29</v>
      </c>
      <c r="H482" s="124"/>
      <c r="I482" s="124" t="s">
        <v>30</v>
      </c>
      <c r="J482" s="124" t="s">
        <v>31</v>
      </c>
      <c r="K482" s="124" t="s">
        <v>305</v>
      </c>
      <c r="L482" s="120" t="s">
        <v>32</v>
      </c>
      <c r="M482" s="125" t="s">
        <v>33</v>
      </c>
      <c r="N482" s="119" t="s">
        <v>34</v>
      </c>
      <c r="O482" s="120" t="s">
        <v>28</v>
      </c>
      <c r="P482" s="120" t="s">
        <v>29</v>
      </c>
      <c r="Q482" s="124" t="s">
        <v>31</v>
      </c>
      <c r="R482" s="124" t="s">
        <v>305</v>
      </c>
      <c r="S482" s="124" t="s">
        <v>35</v>
      </c>
      <c r="T482" s="120" t="s">
        <v>36</v>
      </c>
      <c r="U482" s="123" t="s">
        <v>37</v>
      </c>
      <c r="V482" s="126"/>
    </row>
    <row r="483" spans="1:22" x14ac:dyDescent="0.25">
      <c r="A483" s="127"/>
      <c r="B483" s="127"/>
      <c r="C483" s="127"/>
      <c r="D483" s="127"/>
      <c r="E483" s="127"/>
      <c r="F483" s="127" t="s">
        <v>38</v>
      </c>
      <c r="G483" s="128" t="s">
        <v>39</v>
      </c>
      <c r="H483" s="128"/>
      <c r="I483" s="128" t="s">
        <v>40</v>
      </c>
      <c r="J483" s="128" t="s">
        <v>41</v>
      </c>
      <c r="K483" s="128" t="s">
        <v>306</v>
      </c>
      <c r="L483" s="127"/>
      <c r="M483" s="129"/>
      <c r="N483" s="127"/>
      <c r="O483" s="127" t="s">
        <v>38</v>
      </c>
      <c r="P483" s="127" t="s">
        <v>39</v>
      </c>
      <c r="Q483" s="128" t="s">
        <v>41</v>
      </c>
      <c r="R483" s="128" t="s">
        <v>306</v>
      </c>
      <c r="S483" s="128" t="s">
        <v>42</v>
      </c>
      <c r="T483" s="127" t="s">
        <v>43</v>
      </c>
      <c r="U483" s="130"/>
      <c r="V483" s="131"/>
    </row>
    <row r="484" spans="1:22" x14ac:dyDescent="0.25">
      <c r="A484" s="8"/>
      <c r="B484" s="9"/>
      <c r="C484" s="10"/>
      <c r="D484" s="10"/>
      <c r="E484" s="11"/>
      <c r="F484" s="11"/>
      <c r="G484" s="11"/>
      <c r="H484" s="11"/>
      <c r="I484" s="11"/>
      <c r="J484" s="11"/>
      <c r="K484" s="10"/>
      <c r="L484" s="9"/>
      <c r="M484" s="10"/>
      <c r="N484" s="9"/>
      <c r="O484" s="10"/>
      <c r="P484" s="10"/>
      <c r="Q484" s="10"/>
      <c r="R484" s="10"/>
      <c r="S484" s="10"/>
      <c r="T484" s="10"/>
      <c r="U484" s="10"/>
      <c r="V484" s="11"/>
    </row>
    <row r="485" spans="1:22" x14ac:dyDescent="0.25">
      <c r="A485" s="12"/>
      <c r="B485" s="13"/>
      <c r="C485" s="14"/>
      <c r="D485" s="67" t="s">
        <v>149</v>
      </c>
      <c r="E485" s="17"/>
      <c r="F485" s="17"/>
      <c r="G485" s="17"/>
      <c r="H485" s="17"/>
      <c r="I485" s="19"/>
      <c r="J485" s="19"/>
      <c r="K485" s="14"/>
      <c r="L485" s="13"/>
      <c r="M485" s="14"/>
      <c r="N485" s="13"/>
      <c r="O485" s="14"/>
      <c r="P485" s="14"/>
      <c r="Q485" s="14"/>
      <c r="R485" s="14"/>
      <c r="S485" s="14"/>
      <c r="T485" s="14"/>
      <c r="U485" s="14"/>
      <c r="V485" s="19"/>
    </row>
    <row r="486" spans="1:22" x14ac:dyDescent="0.25">
      <c r="A486" s="31" t="s">
        <v>78</v>
      </c>
      <c r="B486" s="22">
        <v>1</v>
      </c>
      <c r="C486" s="23">
        <v>1</v>
      </c>
      <c r="D486" s="32" t="s">
        <v>78</v>
      </c>
      <c r="E486" s="32">
        <v>1</v>
      </c>
      <c r="F486" s="24">
        <v>42.53</v>
      </c>
      <c r="G486" s="24">
        <f>979.2+H486</f>
        <v>1009.2</v>
      </c>
      <c r="H486" s="24">
        <v>30</v>
      </c>
      <c r="I486" s="91">
        <f>F486+G486-H486</f>
        <v>1021.73</v>
      </c>
      <c r="J486" s="139">
        <v>2760</v>
      </c>
      <c r="K486" s="140">
        <v>522.9</v>
      </c>
      <c r="L486" s="13">
        <v>1</v>
      </c>
      <c r="M486" s="23">
        <v>1</v>
      </c>
      <c r="N486" s="13">
        <v>12</v>
      </c>
      <c r="O486" s="27">
        <f>+F486*L486*N486</f>
        <v>510.36</v>
      </c>
      <c r="P486" s="27">
        <f>G486*L486*N486</f>
        <v>12110.400000000001</v>
      </c>
      <c r="Q486" s="27">
        <f>J486*L486*N486</f>
        <v>33120</v>
      </c>
      <c r="R486" s="27">
        <f>K486*L486*N486</f>
        <v>6274.7999999999993</v>
      </c>
      <c r="S486" s="28">
        <f>IF(I486&lt;650,650*0.09,IF(I486&gt;650,I486*0.09))*12</f>
        <v>1103.4684</v>
      </c>
      <c r="T486" s="26">
        <f>400+600+(600*0.09)*L486</f>
        <v>1054</v>
      </c>
      <c r="U486" s="26">
        <f>SUM(O486:T486)</f>
        <v>54173.028399999996</v>
      </c>
      <c r="V486" s="36" t="s">
        <v>216</v>
      </c>
    </row>
    <row r="487" spans="1:22" x14ac:dyDescent="0.25">
      <c r="A487" s="31" t="s">
        <v>65</v>
      </c>
      <c r="B487" s="22">
        <v>1</v>
      </c>
      <c r="C487" s="23">
        <v>1</v>
      </c>
      <c r="D487" s="32" t="s">
        <v>65</v>
      </c>
      <c r="E487" s="32">
        <v>2</v>
      </c>
      <c r="F487" s="24">
        <v>30.1</v>
      </c>
      <c r="G487" s="24">
        <f>591.28+369</f>
        <v>960.28</v>
      </c>
      <c r="H487" s="24">
        <v>75</v>
      </c>
      <c r="I487" s="91">
        <f>F487+G487-H487</f>
        <v>915.38</v>
      </c>
      <c r="J487" s="139">
        <v>1580</v>
      </c>
      <c r="K487" s="140">
        <v>523</v>
      </c>
      <c r="L487" s="13">
        <v>1</v>
      </c>
      <c r="M487" s="23">
        <v>1</v>
      </c>
      <c r="N487" s="13">
        <v>12</v>
      </c>
      <c r="O487" s="27">
        <f>+F487*L487*N487</f>
        <v>361.20000000000005</v>
      </c>
      <c r="P487" s="27">
        <f>G487*L487*N487</f>
        <v>11523.36</v>
      </c>
      <c r="Q487" s="27">
        <f>J487*L487*N487</f>
        <v>18960</v>
      </c>
      <c r="R487" s="27">
        <f>K487*L487*N487</f>
        <v>6276</v>
      </c>
      <c r="S487" s="28">
        <f>IF(I487&lt;650,650*0.09,IF(I487&gt;650,I487*0.09))*12</f>
        <v>988.61039999999991</v>
      </c>
      <c r="T487" s="26">
        <f>400+600+(600*0.09)*L487</f>
        <v>1054</v>
      </c>
      <c r="U487" s="26">
        <f>SUM(O487:T487)</f>
        <v>39163.170399999995</v>
      </c>
      <c r="V487" s="37" t="s">
        <v>122</v>
      </c>
    </row>
    <row r="488" spans="1:22" x14ac:dyDescent="0.25">
      <c r="A488" s="31" t="s">
        <v>53</v>
      </c>
      <c r="B488" s="22">
        <v>1</v>
      </c>
      <c r="C488" s="23">
        <v>1</v>
      </c>
      <c r="D488" s="32" t="s">
        <v>53</v>
      </c>
      <c r="E488" s="32">
        <v>3</v>
      </c>
      <c r="F488" s="24">
        <v>24.18</v>
      </c>
      <c r="G488" s="24">
        <f>521.42+H488</f>
        <v>571.41999999999996</v>
      </c>
      <c r="H488" s="24">
        <v>50</v>
      </c>
      <c r="I488" s="94">
        <f>F488+G488-H488</f>
        <v>545.59999999999991</v>
      </c>
      <c r="J488" s="141">
        <v>1400</v>
      </c>
      <c r="K488" s="142">
        <v>523</v>
      </c>
      <c r="L488" s="23">
        <v>1</v>
      </c>
      <c r="M488" s="23">
        <v>1</v>
      </c>
      <c r="N488" s="23">
        <v>12</v>
      </c>
      <c r="O488" s="27">
        <f>+F488*L488*N488</f>
        <v>290.15999999999997</v>
      </c>
      <c r="P488" s="27">
        <f>G488*L488*N488</f>
        <v>6857.0399999999991</v>
      </c>
      <c r="Q488" s="27">
        <f>J488*L488*N488</f>
        <v>16800</v>
      </c>
      <c r="R488" s="27">
        <f>K488*L488*N488</f>
        <v>6276</v>
      </c>
      <c r="S488" s="41">
        <f>IF(I488&lt;650,650*0.09,IF(I488&gt;650,I488*0.09))*12</f>
        <v>702</v>
      </c>
      <c r="T488" s="26">
        <f>400+600+(600*0.09)*L488</f>
        <v>1054</v>
      </c>
      <c r="U488" s="26">
        <f>SUM(O488:T488)</f>
        <v>31979.199999999997</v>
      </c>
      <c r="V488" s="37" t="s">
        <v>54</v>
      </c>
    </row>
    <row r="489" spans="1:22" x14ac:dyDescent="0.25">
      <c r="A489" s="31"/>
      <c r="B489" s="22"/>
      <c r="C489" s="23"/>
      <c r="D489" s="32"/>
      <c r="E489" s="32"/>
      <c r="F489" s="32"/>
      <c r="G489" s="32"/>
      <c r="H489" s="70"/>
      <c r="I489" s="94"/>
      <c r="J489" s="141"/>
      <c r="K489" s="142"/>
      <c r="L489" s="23"/>
      <c r="M489" s="23"/>
      <c r="N489" s="23"/>
      <c r="O489" s="27"/>
      <c r="P489" s="27"/>
      <c r="Q489" s="27"/>
      <c r="R489" s="27"/>
      <c r="S489" s="27"/>
      <c r="T489" s="27"/>
      <c r="U489" s="26"/>
      <c r="V489" s="49"/>
    </row>
    <row r="490" spans="1:22" x14ac:dyDescent="0.25">
      <c r="A490" s="21"/>
      <c r="B490" s="22"/>
      <c r="C490" s="23"/>
      <c r="D490" s="68" t="s">
        <v>166</v>
      </c>
      <c r="E490" s="16"/>
      <c r="F490" s="17"/>
      <c r="G490" s="18"/>
      <c r="H490" s="18"/>
      <c r="I490" s="96"/>
      <c r="J490" s="141"/>
      <c r="K490" s="142"/>
      <c r="L490" s="22"/>
      <c r="M490" s="23"/>
      <c r="N490" s="48"/>
      <c r="O490" s="26"/>
      <c r="P490" s="26"/>
      <c r="Q490" s="26"/>
      <c r="R490" s="26"/>
      <c r="S490" s="26"/>
      <c r="T490" s="26"/>
      <c r="U490" s="26"/>
      <c r="V490" s="29"/>
    </row>
    <row r="491" spans="1:22" x14ac:dyDescent="0.25">
      <c r="A491" s="31" t="s">
        <v>73</v>
      </c>
      <c r="B491" s="22">
        <v>1</v>
      </c>
      <c r="C491" s="22">
        <v>1</v>
      </c>
      <c r="D491" s="32" t="s">
        <v>73</v>
      </c>
      <c r="E491" s="83">
        <v>4</v>
      </c>
      <c r="F491" s="24">
        <v>38.510000000000005</v>
      </c>
      <c r="G491" s="24">
        <f>856.41+H491</f>
        <v>946.41</v>
      </c>
      <c r="H491" s="24">
        <v>90</v>
      </c>
      <c r="I491" s="94">
        <f>F491+G491-H491</f>
        <v>894.92</v>
      </c>
      <c r="J491" s="142">
        <v>2250</v>
      </c>
      <c r="K491" s="142">
        <v>523.20000000000005</v>
      </c>
      <c r="L491" s="22">
        <v>1</v>
      </c>
      <c r="M491" s="22">
        <v>1</v>
      </c>
      <c r="N491" s="23">
        <v>12</v>
      </c>
      <c r="O491" s="27">
        <f>+F491*L491*N491</f>
        <v>462.12000000000006</v>
      </c>
      <c r="P491" s="35">
        <f>G491*L491*N491</f>
        <v>11356.92</v>
      </c>
      <c r="Q491" s="27">
        <f>J491*L491*N491</f>
        <v>27000</v>
      </c>
      <c r="R491" s="27">
        <f>K491*L491*N491</f>
        <v>6278.4000000000005</v>
      </c>
      <c r="S491" s="41">
        <f>IF(I491&lt;650,650*0.09,IF(I491&gt;650,I491*0.09))*12</f>
        <v>966.5136</v>
      </c>
      <c r="T491" s="26">
        <f>400+600+(600*0.09)*L491</f>
        <v>1054</v>
      </c>
      <c r="U491" s="26">
        <f>SUM(O491:T491)</f>
        <v>47117.953600000001</v>
      </c>
      <c r="V491" s="37" t="s">
        <v>108</v>
      </c>
    </row>
    <row r="492" spans="1:22" x14ac:dyDescent="0.25">
      <c r="A492" s="31" t="s">
        <v>65</v>
      </c>
      <c r="B492" s="22">
        <v>1</v>
      </c>
      <c r="C492" s="22">
        <v>1</v>
      </c>
      <c r="D492" s="32" t="s">
        <v>65</v>
      </c>
      <c r="E492" s="83">
        <v>5</v>
      </c>
      <c r="F492" s="24">
        <v>30.1</v>
      </c>
      <c r="G492" s="24">
        <f>591.28+376</f>
        <v>967.28</v>
      </c>
      <c r="H492" s="24">
        <v>75</v>
      </c>
      <c r="I492" s="94">
        <f>F492+G492-H492</f>
        <v>922.38</v>
      </c>
      <c r="J492" s="139">
        <v>1580</v>
      </c>
      <c r="K492" s="140">
        <v>523</v>
      </c>
      <c r="L492" s="22">
        <v>1</v>
      </c>
      <c r="M492" s="22">
        <v>1</v>
      </c>
      <c r="N492" s="23">
        <v>12</v>
      </c>
      <c r="O492" s="27">
        <f>+F492*L492*N492</f>
        <v>361.20000000000005</v>
      </c>
      <c r="P492" s="35">
        <f>G492*L492*N492</f>
        <v>11607.36</v>
      </c>
      <c r="Q492" s="27">
        <f>J492*L492*N492</f>
        <v>18960</v>
      </c>
      <c r="R492" s="27">
        <f>K492*L492*N492</f>
        <v>6276</v>
      </c>
      <c r="S492" s="41">
        <f>IF(I492&lt;650,650*0.09,IF(I492&gt;650,I492*0.09))*12</f>
        <v>996.17039999999997</v>
      </c>
      <c r="T492" s="26">
        <f>400+600+(600*0.09)*L492</f>
        <v>1054</v>
      </c>
      <c r="U492" s="26">
        <f>SUM(O492:T492)</f>
        <v>39254.7304</v>
      </c>
      <c r="V492" s="37" t="s">
        <v>167</v>
      </c>
    </row>
    <row r="493" spans="1:22" x14ac:dyDescent="0.25">
      <c r="A493" s="31"/>
      <c r="B493" s="22"/>
      <c r="C493" s="22"/>
      <c r="D493" s="32"/>
      <c r="E493" s="83"/>
      <c r="F493" s="24"/>
      <c r="G493" s="24"/>
      <c r="H493" s="24"/>
      <c r="I493" s="94"/>
      <c r="J493" s="142"/>
      <c r="K493" s="142"/>
      <c r="L493" s="22"/>
      <c r="M493" s="22"/>
      <c r="N493" s="23"/>
      <c r="O493" s="27"/>
      <c r="P493" s="35"/>
      <c r="Q493" s="27"/>
      <c r="R493" s="27"/>
      <c r="S493" s="41"/>
      <c r="T493" s="26"/>
      <c r="U493" s="26"/>
      <c r="V493" s="49"/>
    </row>
    <row r="494" spans="1:22" x14ac:dyDescent="0.25">
      <c r="A494" s="31"/>
      <c r="B494" s="22"/>
      <c r="C494" s="22"/>
      <c r="D494" s="68" t="s">
        <v>168</v>
      </c>
      <c r="E494" s="83"/>
      <c r="F494" s="24"/>
      <c r="G494" s="24"/>
      <c r="H494" s="24"/>
      <c r="I494" s="94"/>
      <c r="J494" s="142"/>
      <c r="K494" s="142"/>
      <c r="L494" s="22"/>
      <c r="M494" s="22"/>
      <c r="N494" s="23"/>
      <c r="O494" s="27"/>
      <c r="P494" s="35"/>
      <c r="Q494" s="27"/>
      <c r="R494" s="27"/>
      <c r="S494" s="41"/>
      <c r="T494" s="26"/>
      <c r="U494" s="26"/>
      <c r="V494" s="49"/>
    </row>
    <row r="495" spans="1:22" x14ac:dyDescent="0.25">
      <c r="A495" s="31" t="s">
        <v>73</v>
      </c>
      <c r="B495" s="22">
        <v>1</v>
      </c>
      <c r="C495" s="22">
        <v>1</v>
      </c>
      <c r="D495" s="32" t="s">
        <v>73</v>
      </c>
      <c r="E495" s="83">
        <v>6</v>
      </c>
      <c r="F495" s="24">
        <v>38.510000000000005</v>
      </c>
      <c r="G495" s="24">
        <f>903.15+H495</f>
        <v>993.15</v>
      </c>
      <c r="H495" s="24">
        <v>90</v>
      </c>
      <c r="I495" s="94">
        <f>F495+G495-H495</f>
        <v>941.66000000000008</v>
      </c>
      <c r="J495" s="142">
        <v>2250</v>
      </c>
      <c r="K495" s="142">
        <v>523.20000000000005</v>
      </c>
      <c r="L495" s="22">
        <v>1</v>
      </c>
      <c r="M495" s="22">
        <v>1</v>
      </c>
      <c r="N495" s="23">
        <v>12</v>
      </c>
      <c r="O495" s="27">
        <f>+F495*L495*N495</f>
        <v>462.12000000000006</v>
      </c>
      <c r="P495" s="35">
        <f>G495*L495*N495</f>
        <v>11917.8</v>
      </c>
      <c r="Q495" s="27">
        <f>J495*L495*N495</f>
        <v>27000</v>
      </c>
      <c r="R495" s="27">
        <f>K495*L495*N495</f>
        <v>6278.4000000000005</v>
      </c>
      <c r="S495" s="41">
        <f>IF(I495&lt;650,650*0.09,IF(I495&gt;650,I495*0.09))*12</f>
        <v>1016.9928000000001</v>
      </c>
      <c r="T495" s="26">
        <f>400+600+(600*0.09)*L495</f>
        <v>1054</v>
      </c>
      <c r="U495" s="26">
        <f>SUM(O495:T495)</f>
        <v>47729.3128</v>
      </c>
      <c r="V495" s="37" t="s">
        <v>108</v>
      </c>
    </row>
    <row r="496" spans="1:22" x14ac:dyDescent="0.25">
      <c r="A496" s="31" t="s">
        <v>65</v>
      </c>
      <c r="B496" s="22">
        <v>1</v>
      </c>
      <c r="C496" s="22">
        <v>1</v>
      </c>
      <c r="D496" s="32" t="s">
        <v>65</v>
      </c>
      <c r="E496" s="83">
        <v>7</v>
      </c>
      <c r="F496" s="24">
        <v>30.1</v>
      </c>
      <c r="G496" s="24">
        <f>592.4+H496</f>
        <v>667.4</v>
      </c>
      <c r="H496" s="24">
        <v>75</v>
      </c>
      <c r="I496" s="94">
        <f>F496+G496-H496</f>
        <v>622.5</v>
      </c>
      <c r="J496" s="139">
        <v>1580</v>
      </c>
      <c r="K496" s="140">
        <v>523</v>
      </c>
      <c r="L496" s="22">
        <v>1</v>
      </c>
      <c r="M496" s="22">
        <v>1</v>
      </c>
      <c r="N496" s="23">
        <v>12</v>
      </c>
      <c r="O496" s="27">
        <f>+F496*L496*N496</f>
        <v>361.20000000000005</v>
      </c>
      <c r="P496" s="35">
        <f>G496*L496*N496</f>
        <v>8008.7999999999993</v>
      </c>
      <c r="Q496" s="27">
        <f>J496*L496*N496</f>
        <v>18960</v>
      </c>
      <c r="R496" s="27">
        <f>K496*L496*N496</f>
        <v>6276</v>
      </c>
      <c r="S496" s="41">
        <f>IF(I496&lt;650,650*0.09,IF(I496&gt;650,I496*0.09))*12</f>
        <v>702</v>
      </c>
      <c r="T496" s="26">
        <f>400+600+(600*0.09)*L496</f>
        <v>1054</v>
      </c>
      <c r="U496" s="26">
        <f>SUM(O496:T496)</f>
        <v>35362</v>
      </c>
      <c r="V496" s="37" t="s">
        <v>66</v>
      </c>
    </row>
    <row r="497" spans="1:22" x14ac:dyDescent="0.25">
      <c r="A497" s="31"/>
      <c r="B497" s="22"/>
      <c r="C497" s="22"/>
      <c r="D497" s="74"/>
      <c r="E497" s="83"/>
      <c r="F497" s="24"/>
      <c r="G497" s="24"/>
      <c r="H497" s="24"/>
      <c r="I497" s="94"/>
      <c r="J497" s="142"/>
      <c r="K497" s="142"/>
      <c r="L497" s="22"/>
      <c r="M497" s="22"/>
      <c r="N497" s="23"/>
      <c r="O497" s="27"/>
      <c r="P497" s="35"/>
      <c r="Q497" s="27"/>
      <c r="R497" s="27"/>
      <c r="S497" s="41"/>
      <c r="T497" s="26"/>
      <c r="U497" s="26"/>
      <c r="V497" s="49"/>
    </row>
    <row r="498" spans="1:22" x14ac:dyDescent="0.25">
      <c r="A498" s="21"/>
      <c r="B498" s="22"/>
      <c r="C498" s="23"/>
      <c r="D498" s="68" t="s">
        <v>169</v>
      </c>
      <c r="E498" s="87"/>
      <c r="F498" s="17"/>
      <c r="G498" s="26"/>
      <c r="H498" s="26"/>
      <c r="I498" s="95"/>
      <c r="J498" s="142"/>
      <c r="K498" s="142"/>
      <c r="L498" s="22"/>
      <c r="M498" s="23"/>
      <c r="N498" s="48"/>
      <c r="O498" s="26"/>
      <c r="P498" s="26"/>
      <c r="Q498" s="26"/>
      <c r="R498" s="26"/>
      <c r="S498" s="26"/>
      <c r="T498" s="26"/>
      <c r="U498" s="26"/>
      <c r="V498" s="29"/>
    </row>
    <row r="499" spans="1:22" x14ac:dyDescent="0.25">
      <c r="A499" s="31" t="s">
        <v>98</v>
      </c>
      <c r="B499" s="22">
        <v>1</v>
      </c>
      <c r="C499" s="23">
        <v>1</v>
      </c>
      <c r="D499" s="32" t="s">
        <v>98</v>
      </c>
      <c r="E499" s="83">
        <v>8</v>
      </c>
      <c r="F499" s="24">
        <v>36.53</v>
      </c>
      <c r="G499" s="24">
        <f>995.42+H499</f>
        <v>1085.42</v>
      </c>
      <c r="H499" s="24">
        <v>90</v>
      </c>
      <c r="I499" s="94">
        <f>F499+G499-H499</f>
        <v>1031.95</v>
      </c>
      <c r="J499" s="142">
        <v>1840</v>
      </c>
      <c r="K499" s="142">
        <v>523</v>
      </c>
      <c r="L499" s="22">
        <v>1</v>
      </c>
      <c r="M499" s="23">
        <v>1</v>
      </c>
      <c r="N499" s="23">
        <v>12</v>
      </c>
      <c r="O499" s="27">
        <f>+F499*L499*N499</f>
        <v>438.36</v>
      </c>
      <c r="P499" s="35">
        <f>G499*L499*N499</f>
        <v>13025.04</v>
      </c>
      <c r="Q499" s="27">
        <f>J499*L499*N499</f>
        <v>22080</v>
      </c>
      <c r="R499" s="27">
        <f>K499*L499*N499</f>
        <v>6276</v>
      </c>
      <c r="S499" s="41">
        <f>IF(I499&lt;650,650*0.09,IF(I499&gt;650,I499*0.09))*12</f>
        <v>1114.5060000000001</v>
      </c>
      <c r="T499" s="26">
        <f>400+600+(600*0.09)*L499</f>
        <v>1054</v>
      </c>
      <c r="U499" s="26">
        <f>SUM(O499:T499)</f>
        <v>43987.906000000003</v>
      </c>
      <c r="V499" s="37" t="s">
        <v>138</v>
      </c>
    </row>
    <row r="500" spans="1:22" x14ac:dyDescent="0.25">
      <c r="A500" s="31" t="s">
        <v>121</v>
      </c>
      <c r="B500" s="22">
        <v>1</v>
      </c>
      <c r="C500" s="23">
        <v>1</v>
      </c>
      <c r="D500" s="32" t="s">
        <v>121</v>
      </c>
      <c r="E500" s="83">
        <v>9</v>
      </c>
      <c r="F500" s="24">
        <v>29.66</v>
      </c>
      <c r="G500" s="24">
        <f>695.89+H500</f>
        <v>764.89</v>
      </c>
      <c r="H500" s="24">
        <v>69</v>
      </c>
      <c r="I500" s="94">
        <f>F500+G500-H500</f>
        <v>725.55</v>
      </c>
      <c r="J500" s="139">
        <v>1580</v>
      </c>
      <c r="K500" s="140">
        <v>523</v>
      </c>
      <c r="L500" s="22">
        <v>1</v>
      </c>
      <c r="M500" s="23">
        <v>1</v>
      </c>
      <c r="N500" s="23">
        <v>12</v>
      </c>
      <c r="O500" s="27">
        <f>+F500*L500*N500</f>
        <v>355.92</v>
      </c>
      <c r="P500" s="35">
        <f>G500*L500*N500</f>
        <v>9178.68</v>
      </c>
      <c r="Q500" s="27">
        <f>J500*L500*N500</f>
        <v>18960</v>
      </c>
      <c r="R500" s="27">
        <f>K500*L500*N500</f>
        <v>6276</v>
      </c>
      <c r="S500" s="41">
        <f>IF(I500&lt;650,650*0.09,IF(I500&gt;650,I500*0.09))*12</f>
        <v>783.59399999999994</v>
      </c>
      <c r="T500" s="26">
        <f>400+600+(600*0.09)*L500</f>
        <v>1054</v>
      </c>
      <c r="U500" s="26">
        <f>SUM(O500:T500)</f>
        <v>36608.193999999996</v>
      </c>
      <c r="V500" s="37" t="s">
        <v>170</v>
      </c>
    </row>
    <row r="501" spans="1:22" x14ac:dyDescent="0.25">
      <c r="A501" s="31" t="s">
        <v>55</v>
      </c>
      <c r="B501" s="22">
        <v>1</v>
      </c>
      <c r="C501" s="23">
        <v>1</v>
      </c>
      <c r="D501" s="32" t="s">
        <v>55</v>
      </c>
      <c r="E501" s="83">
        <v>10</v>
      </c>
      <c r="F501" s="24">
        <v>23.99</v>
      </c>
      <c r="G501" s="24">
        <f>705.33+H501</f>
        <v>750.33</v>
      </c>
      <c r="H501" s="24">
        <v>45</v>
      </c>
      <c r="I501" s="94">
        <f>F501+G501-H501</f>
        <v>729.32</v>
      </c>
      <c r="J501" s="141">
        <v>1400</v>
      </c>
      <c r="K501" s="142">
        <v>523</v>
      </c>
      <c r="L501" s="22">
        <v>1</v>
      </c>
      <c r="M501" s="23">
        <v>1</v>
      </c>
      <c r="N501" s="23">
        <v>12</v>
      </c>
      <c r="O501" s="27">
        <f>+F501*L501*N501</f>
        <v>287.88</v>
      </c>
      <c r="P501" s="35">
        <f>G501*L501*N501</f>
        <v>9003.9600000000009</v>
      </c>
      <c r="Q501" s="27">
        <f>J501*L501*N501</f>
        <v>16800</v>
      </c>
      <c r="R501" s="27">
        <f>K501*L501*N501</f>
        <v>6276</v>
      </c>
      <c r="S501" s="41">
        <f>IF(I501&lt;650,650*0.09,IF(I501&gt;650,I501*0.09))*12</f>
        <v>787.66560000000004</v>
      </c>
      <c r="T501" s="26">
        <f>400+600+(600*0.09)*L501</f>
        <v>1054</v>
      </c>
      <c r="U501" s="26">
        <f>SUM(O501:T501)</f>
        <v>34209.505599999997</v>
      </c>
      <c r="V501" s="37" t="s">
        <v>171</v>
      </c>
    </row>
    <row r="502" spans="1:22" x14ac:dyDescent="0.25">
      <c r="A502" s="31" t="s">
        <v>55</v>
      </c>
      <c r="B502" s="22">
        <v>1</v>
      </c>
      <c r="C502" s="23">
        <v>1</v>
      </c>
      <c r="D502" s="32" t="s">
        <v>55</v>
      </c>
      <c r="E502" s="83">
        <v>11</v>
      </c>
      <c r="F502" s="24">
        <v>23.99</v>
      </c>
      <c r="G502" s="24">
        <f>523.94+H502</f>
        <v>568.94000000000005</v>
      </c>
      <c r="H502" s="24">
        <v>45</v>
      </c>
      <c r="I502" s="94">
        <f>F502+G502-H502</f>
        <v>547.93000000000006</v>
      </c>
      <c r="J502" s="141">
        <v>1400</v>
      </c>
      <c r="K502" s="142">
        <v>523</v>
      </c>
      <c r="L502" s="22">
        <v>1</v>
      </c>
      <c r="M502" s="23">
        <v>1</v>
      </c>
      <c r="N502" s="23">
        <v>12</v>
      </c>
      <c r="O502" s="27">
        <f>+F502*L502*N502</f>
        <v>287.88</v>
      </c>
      <c r="P502" s="35">
        <f>G502*L502*N502</f>
        <v>6827.2800000000007</v>
      </c>
      <c r="Q502" s="27">
        <f>J502*L502*N502</f>
        <v>16800</v>
      </c>
      <c r="R502" s="27">
        <f>K502*L502*N502</f>
        <v>6276</v>
      </c>
      <c r="S502" s="41">
        <f>IF(I502&lt;650,650*0.09,IF(I502&gt;650,I502*0.09))*12</f>
        <v>702</v>
      </c>
      <c r="T502" s="26">
        <f>400+600+(600*0.09)*L502</f>
        <v>1054</v>
      </c>
      <c r="U502" s="26">
        <f>SUM(O502:T502)</f>
        <v>31947.16</v>
      </c>
      <c r="V502" s="49" t="s">
        <v>172</v>
      </c>
    </row>
    <row r="503" spans="1:22" x14ac:dyDescent="0.25">
      <c r="A503" s="31" t="s">
        <v>65</v>
      </c>
      <c r="B503" s="22">
        <v>1</v>
      </c>
      <c r="C503" s="23">
        <v>1</v>
      </c>
      <c r="D503" s="32" t="s">
        <v>65</v>
      </c>
      <c r="E503" s="83">
        <v>12</v>
      </c>
      <c r="F503" s="24">
        <v>30.1</v>
      </c>
      <c r="G503" s="24">
        <f>531.17+H503</f>
        <v>606.16999999999996</v>
      </c>
      <c r="H503" s="24">
        <v>75</v>
      </c>
      <c r="I503" s="94">
        <f>F503+G503-H503</f>
        <v>561.27</v>
      </c>
      <c r="J503" s="139">
        <v>1580</v>
      </c>
      <c r="K503" s="140">
        <v>523</v>
      </c>
      <c r="L503" s="22">
        <v>1</v>
      </c>
      <c r="M503" s="23">
        <v>1</v>
      </c>
      <c r="N503" s="23">
        <v>12</v>
      </c>
      <c r="O503" s="27">
        <f>+F503*L503*N503</f>
        <v>361.20000000000005</v>
      </c>
      <c r="P503" s="35">
        <f>G503*L503*N503</f>
        <v>7274.0399999999991</v>
      </c>
      <c r="Q503" s="27">
        <f>J503*L503*N503</f>
        <v>18960</v>
      </c>
      <c r="R503" s="27">
        <f>K503*L503*N503</f>
        <v>6276</v>
      </c>
      <c r="S503" s="41">
        <f>IF(I503&lt;650,650*0.09,IF(I503&gt;650,I503*0.09))*12</f>
        <v>702</v>
      </c>
      <c r="T503" s="26">
        <f>400+600+(600*0.09)*L503</f>
        <v>1054</v>
      </c>
      <c r="U503" s="26">
        <f>SUM(O503:T503)</f>
        <v>34627.24</v>
      </c>
      <c r="V503" s="49" t="s">
        <v>173</v>
      </c>
    </row>
    <row r="504" spans="1:22" x14ac:dyDescent="0.25">
      <c r="A504" s="31"/>
      <c r="B504" s="22"/>
      <c r="C504" s="23"/>
      <c r="D504" s="32"/>
      <c r="E504" s="83"/>
      <c r="F504" s="32"/>
      <c r="G504" s="32"/>
      <c r="H504" s="32"/>
      <c r="I504" s="94"/>
      <c r="J504" s="142"/>
      <c r="K504" s="142"/>
      <c r="L504" s="22"/>
      <c r="M504" s="23"/>
      <c r="N504" s="23"/>
      <c r="O504" s="27"/>
      <c r="P504" s="35"/>
      <c r="Q504" s="27"/>
      <c r="R504" s="27"/>
      <c r="S504" s="27"/>
      <c r="T504" s="27"/>
      <c r="U504" s="26"/>
      <c r="V504" s="37"/>
    </row>
    <row r="505" spans="1:22" x14ac:dyDescent="0.25">
      <c r="A505" s="31"/>
      <c r="B505" s="22"/>
      <c r="C505" s="23"/>
      <c r="D505" s="68" t="s">
        <v>174</v>
      </c>
      <c r="E505" s="83"/>
      <c r="F505" s="32"/>
      <c r="G505" s="32"/>
      <c r="H505" s="32"/>
      <c r="I505" s="94"/>
      <c r="J505" s="142"/>
      <c r="K505" s="142"/>
      <c r="L505" s="22"/>
      <c r="M505" s="23"/>
      <c r="N505" s="23"/>
      <c r="O505" s="27"/>
      <c r="P505" s="35"/>
      <c r="Q505" s="27"/>
      <c r="R505" s="27"/>
      <c r="S505" s="27"/>
      <c r="T505" s="27"/>
      <c r="U505" s="26"/>
      <c r="V505" s="37"/>
    </row>
    <row r="506" spans="1:22" x14ac:dyDescent="0.25">
      <c r="A506" s="31" t="s">
        <v>55</v>
      </c>
      <c r="B506" s="22">
        <v>1</v>
      </c>
      <c r="C506" s="23">
        <v>1</v>
      </c>
      <c r="D506" s="32" t="s">
        <v>55</v>
      </c>
      <c r="E506" s="83">
        <v>13</v>
      </c>
      <c r="F506" s="24">
        <v>23.99</v>
      </c>
      <c r="G506" s="24">
        <f>709.96+H506</f>
        <v>754.96</v>
      </c>
      <c r="H506" s="24">
        <v>45</v>
      </c>
      <c r="I506" s="94">
        <f>F506+G506-H506</f>
        <v>733.95</v>
      </c>
      <c r="J506" s="141">
        <v>1400</v>
      </c>
      <c r="K506" s="142">
        <v>523</v>
      </c>
      <c r="L506" s="22">
        <v>1</v>
      </c>
      <c r="M506" s="23">
        <v>1</v>
      </c>
      <c r="N506" s="23">
        <v>12</v>
      </c>
      <c r="O506" s="27">
        <f>+F506*L506*N506</f>
        <v>287.88</v>
      </c>
      <c r="P506" s="35">
        <f>G506*L506*N506</f>
        <v>9059.52</v>
      </c>
      <c r="Q506" s="27">
        <f>J506*L506*N506</f>
        <v>16800</v>
      </c>
      <c r="R506" s="27">
        <f>K506*L506*N506</f>
        <v>6276</v>
      </c>
      <c r="S506" s="41">
        <f>IF(I506&lt;650,650*0.09,IF(I506&gt;650,I506*0.09))*12</f>
        <v>792.66599999999994</v>
      </c>
      <c r="T506" s="26">
        <f>400+600+(600*0.09)*L506</f>
        <v>1054</v>
      </c>
      <c r="U506" s="26">
        <f>SUM(O506:T506)</f>
        <v>34270.065999999999</v>
      </c>
      <c r="V506" s="37" t="s">
        <v>175</v>
      </c>
    </row>
    <row r="507" spans="1:22" x14ac:dyDescent="0.25">
      <c r="A507" s="31"/>
      <c r="B507" s="22"/>
      <c r="C507" s="23"/>
      <c r="D507" s="32"/>
      <c r="E507" s="45"/>
      <c r="F507" s="24"/>
      <c r="G507" s="24"/>
      <c r="H507" s="24"/>
      <c r="I507" s="94"/>
      <c r="J507" s="95"/>
      <c r="K507" s="26"/>
      <c r="L507" s="22"/>
      <c r="M507" s="23"/>
      <c r="N507" s="23"/>
      <c r="O507" s="27"/>
      <c r="P507" s="35"/>
      <c r="Q507" s="27"/>
      <c r="R507" s="27"/>
      <c r="S507" s="41"/>
      <c r="T507" s="26"/>
      <c r="U507" s="26"/>
      <c r="V507" s="37"/>
    </row>
    <row r="508" spans="1:22" x14ac:dyDescent="0.25">
      <c r="A508" s="31"/>
      <c r="B508" s="22"/>
      <c r="C508" s="23"/>
      <c r="D508" s="32"/>
      <c r="E508" s="45"/>
      <c r="F508" s="24"/>
      <c r="G508" s="24"/>
      <c r="H508" s="24"/>
      <c r="I508" s="94"/>
      <c r="J508" s="95"/>
      <c r="K508" s="26"/>
      <c r="L508" s="22"/>
      <c r="M508" s="23"/>
      <c r="N508" s="23"/>
      <c r="O508" s="27"/>
      <c r="P508" s="35"/>
      <c r="Q508" s="27"/>
      <c r="R508" s="27"/>
      <c r="S508" s="41"/>
      <c r="T508" s="26"/>
      <c r="U508" s="26"/>
      <c r="V508" s="37"/>
    </row>
    <row r="509" spans="1:22" x14ac:dyDescent="0.25">
      <c r="A509" s="31"/>
      <c r="B509" s="22"/>
      <c r="C509" s="23"/>
      <c r="D509" s="32"/>
      <c r="E509" s="45"/>
      <c r="F509" s="24"/>
      <c r="G509" s="24"/>
      <c r="H509" s="24"/>
      <c r="I509" s="94"/>
      <c r="J509" s="95"/>
      <c r="K509" s="26"/>
      <c r="L509" s="22"/>
      <c r="M509" s="23"/>
      <c r="N509" s="23"/>
      <c r="O509" s="27"/>
      <c r="P509" s="35"/>
      <c r="Q509" s="27"/>
      <c r="R509" s="27"/>
      <c r="S509" s="41"/>
      <c r="T509" s="26"/>
      <c r="U509" s="26"/>
      <c r="V509" s="37"/>
    </row>
    <row r="510" spans="1:22" x14ac:dyDescent="0.25">
      <c r="A510" s="31"/>
      <c r="B510" s="22"/>
      <c r="C510" s="23"/>
      <c r="D510" s="32"/>
      <c r="E510" s="45"/>
      <c r="F510" s="24"/>
      <c r="G510" s="24"/>
      <c r="H510" s="24"/>
      <c r="I510" s="94"/>
      <c r="J510" s="95"/>
      <c r="K510" s="26"/>
      <c r="L510" s="22"/>
      <c r="M510" s="23"/>
      <c r="N510" s="23"/>
      <c r="O510" s="27"/>
      <c r="P510" s="35"/>
      <c r="Q510" s="27"/>
      <c r="R510" s="27"/>
      <c r="S510" s="41"/>
      <c r="T510" s="26"/>
      <c r="U510" s="26"/>
      <c r="V510" s="37"/>
    </row>
    <row r="511" spans="1:22" x14ac:dyDescent="0.25">
      <c r="A511" s="31"/>
      <c r="B511" s="22"/>
      <c r="C511" s="23"/>
      <c r="D511" s="32"/>
      <c r="E511" s="45"/>
      <c r="F511" s="24"/>
      <c r="G511" s="24"/>
      <c r="H511" s="24"/>
      <c r="I511" s="94"/>
      <c r="J511" s="95"/>
      <c r="K511" s="26"/>
      <c r="L511" s="22"/>
      <c r="M511" s="23"/>
      <c r="N511" s="23"/>
      <c r="O511" s="27"/>
      <c r="P511" s="35"/>
      <c r="Q511" s="27"/>
      <c r="R511" s="27"/>
      <c r="S511" s="41"/>
      <c r="T511" s="26"/>
      <c r="U511" s="26"/>
      <c r="V511" s="37"/>
    </row>
    <row r="512" spans="1:22" x14ac:dyDescent="0.25">
      <c r="A512" s="31"/>
      <c r="B512" s="22"/>
      <c r="C512" s="23"/>
      <c r="D512" s="32"/>
      <c r="E512" s="45"/>
      <c r="F512" s="24"/>
      <c r="G512" s="24"/>
      <c r="H512" s="24"/>
      <c r="I512" s="94"/>
      <c r="J512" s="95"/>
      <c r="K512" s="26"/>
      <c r="L512" s="22"/>
      <c r="M512" s="23"/>
      <c r="N512" s="23"/>
      <c r="O512" s="27"/>
      <c r="P512" s="35"/>
      <c r="Q512" s="27"/>
      <c r="R512" s="27"/>
      <c r="S512" s="41"/>
      <c r="T512" s="26"/>
      <c r="U512" s="26"/>
      <c r="V512" s="37"/>
    </row>
    <row r="513" spans="1:22" x14ac:dyDescent="0.25">
      <c r="A513" s="31"/>
      <c r="B513" s="22"/>
      <c r="C513" s="23"/>
      <c r="D513" s="32"/>
      <c r="E513" s="45"/>
      <c r="F513" s="24"/>
      <c r="G513" s="24"/>
      <c r="H513" s="24"/>
      <c r="I513" s="94"/>
      <c r="J513" s="95"/>
      <c r="K513" s="26"/>
      <c r="L513" s="22"/>
      <c r="M513" s="23"/>
      <c r="N513" s="23"/>
      <c r="O513" s="27"/>
      <c r="P513" s="35"/>
      <c r="Q513" s="27"/>
      <c r="R513" s="27"/>
      <c r="S513" s="41"/>
      <c r="T513" s="26"/>
      <c r="U513" s="26"/>
      <c r="V513" s="37"/>
    </row>
    <row r="514" spans="1:22" x14ac:dyDescent="0.25">
      <c r="A514" s="31"/>
      <c r="B514" s="22"/>
      <c r="C514" s="23"/>
      <c r="D514" s="32"/>
      <c r="E514" s="45"/>
      <c r="F514" s="24"/>
      <c r="G514" s="24"/>
      <c r="H514" s="24"/>
      <c r="I514" s="94"/>
      <c r="J514" s="95"/>
      <c r="K514" s="26"/>
      <c r="L514" s="22"/>
      <c r="M514" s="23"/>
      <c r="N514" s="23"/>
      <c r="O514" s="27"/>
      <c r="P514" s="35"/>
      <c r="Q514" s="27"/>
      <c r="R514" s="27"/>
      <c r="S514" s="41"/>
      <c r="T514" s="26"/>
      <c r="U514" s="26"/>
      <c r="V514" s="37"/>
    </row>
    <row r="515" spans="1:22" x14ac:dyDescent="0.25">
      <c r="A515" s="31"/>
      <c r="B515" s="22"/>
      <c r="C515" s="23"/>
      <c r="D515" s="32"/>
      <c r="E515" s="45"/>
      <c r="F515" s="24"/>
      <c r="G515" s="24"/>
      <c r="H515" s="24"/>
      <c r="I515" s="94"/>
      <c r="J515" s="95"/>
      <c r="K515" s="26"/>
      <c r="L515" s="22"/>
      <c r="M515" s="23"/>
      <c r="N515" s="23"/>
      <c r="O515" s="27"/>
      <c r="P515" s="35"/>
      <c r="Q515" s="27"/>
      <c r="R515" s="27"/>
      <c r="S515" s="41"/>
      <c r="T515" s="26"/>
      <c r="U515" s="26"/>
      <c r="V515" s="37"/>
    </row>
    <row r="516" spans="1:22" x14ac:dyDescent="0.25">
      <c r="A516" s="31"/>
      <c r="B516" s="22"/>
      <c r="C516" s="23"/>
      <c r="D516" s="32"/>
      <c r="E516" s="45"/>
      <c r="F516" s="24"/>
      <c r="G516" s="24"/>
      <c r="H516" s="24"/>
      <c r="I516" s="94"/>
      <c r="J516" s="95"/>
      <c r="K516" s="26"/>
      <c r="L516" s="22"/>
      <c r="M516" s="23"/>
      <c r="N516" s="23"/>
      <c r="O516" s="27"/>
      <c r="P516" s="35"/>
      <c r="Q516" s="27"/>
      <c r="R516" s="27"/>
      <c r="S516" s="41"/>
      <c r="T516" s="26"/>
      <c r="U516" s="26"/>
      <c r="V516" s="37"/>
    </row>
    <row r="517" spans="1:22" x14ac:dyDescent="0.25">
      <c r="A517" s="31"/>
      <c r="B517" s="22"/>
      <c r="C517" s="23"/>
      <c r="D517" s="32"/>
      <c r="E517" s="45"/>
      <c r="F517" s="24"/>
      <c r="G517" s="24"/>
      <c r="H517" s="24"/>
      <c r="I517" s="94"/>
      <c r="J517" s="95"/>
      <c r="K517" s="26"/>
      <c r="L517" s="22"/>
      <c r="M517" s="23"/>
      <c r="N517" s="23"/>
      <c r="O517" s="27"/>
      <c r="P517" s="35"/>
      <c r="Q517" s="27"/>
      <c r="R517" s="27"/>
      <c r="S517" s="41"/>
      <c r="T517" s="26"/>
      <c r="U517" s="26"/>
      <c r="V517" s="37"/>
    </row>
    <row r="518" spans="1:22" x14ac:dyDescent="0.25">
      <c r="A518" s="31"/>
      <c r="B518" s="22"/>
      <c r="C518" s="23"/>
      <c r="D518" s="32"/>
      <c r="E518" s="45"/>
      <c r="F518" s="24"/>
      <c r="G518" s="24"/>
      <c r="H518" s="24"/>
      <c r="I518" s="94"/>
      <c r="J518" s="95"/>
      <c r="K518" s="26"/>
      <c r="L518" s="22"/>
      <c r="M518" s="23"/>
      <c r="N518" s="23"/>
      <c r="O518" s="27"/>
      <c r="P518" s="35"/>
      <c r="Q518" s="27"/>
      <c r="R518" s="27"/>
      <c r="S518" s="41"/>
      <c r="T518" s="26"/>
      <c r="U518" s="26"/>
      <c r="V518" s="37"/>
    </row>
    <row r="519" spans="1:22" x14ac:dyDescent="0.25">
      <c r="A519" s="31"/>
      <c r="B519" s="22"/>
      <c r="C519" s="23"/>
      <c r="D519" s="32"/>
      <c r="E519" s="45"/>
      <c r="F519" s="24"/>
      <c r="G519" s="24"/>
      <c r="H519" s="24"/>
      <c r="I519" s="94"/>
      <c r="J519" s="95"/>
      <c r="K519" s="26"/>
      <c r="L519" s="22"/>
      <c r="M519" s="23"/>
      <c r="N519" s="23"/>
      <c r="O519" s="27"/>
      <c r="P519" s="35"/>
      <c r="Q519" s="27"/>
      <c r="R519" s="27"/>
      <c r="S519" s="41"/>
      <c r="T519" s="26"/>
      <c r="U519" s="26"/>
      <c r="V519" s="37"/>
    </row>
    <row r="520" spans="1:22" x14ac:dyDescent="0.25">
      <c r="A520" s="31"/>
      <c r="B520" s="22"/>
      <c r="C520" s="23"/>
      <c r="D520" s="32"/>
      <c r="E520" s="45"/>
      <c r="F520" s="24"/>
      <c r="G520" s="24"/>
      <c r="H520" s="24"/>
      <c r="I520" s="94"/>
      <c r="J520" s="95"/>
      <c r="K520" s="26"/>
      <c r="L520" s="22"/>
      <c r="M520" s="23"/>
      <c r="N520" s="23"/>
      <c r="O520" s="27"/>
      <c r="P520" s="35"/>
      <c r="Q520" s="27"/>
      <c r="R520" s="27"/>
      <c r="S520" s="41"/>
      <c r="T520" s="26"/>
      <c r="U520" s="26"/>
      <c r="V520" s="37"/>
    </row>
    <row r="521" spans="1:22" x14ac:dyDescent="0.25">
      <c r="A521" s="31"/>
      <c r="B521" s="22"/>
      <c r="C521" s="23"/>
      <c r="D521" s="32"/>
      <c r="E521" s="45"/>
      <c r="F521" s="24"/>
      <c r="G521" s="24"/>
      <c r="H521" s="24"/>
      <c r="I521" s="40"/>
      <c r="J521" s="26"/>
      <c r="K521" s="26"/>
      <c r="L521" s="22"/>
      <c r="M521" s="23"/>
      <c r="N521" s="23"/>
      <c r="O521" s="27"/>
      <c r="P521" s="35"/>
      <c r="Q521" s="27"/>
      <c r="R521" s="27"/>
      <c r="S521" s="41"/>
      <c r="T521" s="26"/>
      <c r="U521" s="26"/>
      <c r="V521" s="37"/>
    </row>
    <row r="522" spans="1:22" x14ac:dyDescent="0.25">
      <c r="A522" s="31"/>
      <c r="B522" s="22"/>
      <c r="C522" s="23"/>
      <c r="D522" s="32"/>
      <c r="E522" s="45"/>
      <c r="F522" s="24"/>
      <c r="G522" s="24"/>
      <c r="H522" s="24"/>
      <c r="I522" s="40"/>
      <c r="J522" s="26"/>
      <c r="K522" s="26"/>
      <c r="L522" s="22"/>
      <c r="M522" s="23"/>
      <c r="N522" s="23"/>
      <c r="O522" s="27"/>
      <c r="P522" s="35"/>
      <c r="Q522" s="27"/>
      <c r="R522" s="27"/>
      <c r="S522" s="41"/>
      <c r="T522" s="26"/>
      <c r="U522" s="26"/>
      <c r="V522" s="37"/>
    </row>
    <row r="523" spans="1:22" x14ac:dyDescent="0.25">
      <c r="A523" s="31"/>
      <c r="B523" s="22"/>
      <c r="C523" s="23"/>
      <c r="D523" s="32"/>
      <c r="E523" s="45"/>
      <c r="F523" s="24"/>
      <c r="G523" s="24"/>
      <c r="H523" s="24"/>
      <c r="I523" s="40"/>
      <c r="J523" s="26"/>
      <c r="K523" s="26"/>
      <c r="L523" s="22"/>
      <c r="M523" s="23"/>
      <c r="N523" s="23"/>
      <c r="O523" s="27"/>
      <c r="P523" s="35"/>
      <c r="Q523" s="27"/>
      <c r="R523" s="27"/>
      <c r="S523" s="41"/>
      <c r="T523" s="26"/>
      <c r="U523" s="26"/>
      <c r="V523" s="37"/>
    </row>
    <row r="524" spans="1:22" x14ac:dyDescent="0.25">
      <c r="A524" s="31"/>
      <c r="B524" s="22"/>
      <c r="C524" s="23"/>
      <c r="D524" s="32"/>
      <c r="E524" s="45"/>
      <c r="F524" s="24"/>
      <c r="G524" s="24"/>
      <c r="H524" s="24"/>
      <c r="I524" s="40"/>
      <c r="J524" s="26"/>
      <c r="K524" s="26"/>
      <c r="L524" s="22"/>
      <c r="M524" s="23"/>
      <c r="N524" s="23"/>
      <c r="O524" s="27"/>
      <c r="P524" s="35"/>
      <c r="Q524" s="27"/>
      <c r="R524" s="27"/>
      <c r="S524" s="41"/>
      <c r="T524" s="26"/>
      <c r="U524" s="26"/>
      <c r="V524" s="37"/>
    </row>
    <row r="525" spans="1:22" x14ac:dyDescent="0.25">
      <c r="A525" s="31"/>
      <c r="B525" s="22"/>
      <c r="C525" s="23"/>
      <c r="D525" s="32"/>
      <c r="E525" s="45"/>
      <c r="F525" s="32"/>
      <c r="G525" s="32"/>
      <c r="H525" s="32"/>
      <c r="I525" s="33"/>
      <c r="J525" s="43"/>
      <c r="K525" s="43"/>
      <c r="L525" s="22"/>
      <c r="M525" s="23"/>
      <c r="N525" s="13"/>
      <c r="O525" s="27"/>
      <c r="P525" s="35"/>
      <c r="Q525" s="27"/>
      <c r="R525" s="27"/>
      <c r="S525" s="27"/>
      <c r="T525" s="27"/>
      <c r="U525" s="26"/>
      <c r="V525" s="37"/>
    </row>
    <row r="526" spans="1:22" x14ac:dyDescent="0.25">
      <c r="A526" s="56"/>
      <c r="B526" s="57"/>
      <c r="C526" s="57"/>
      <c r="D526" s="57"/>
      <c r="E526" s="58"/>
      <c r="F526" s="58"/>
      <c r="G526" s="58"/>
      <c r="H526" s="58"/>
      <c r="I526" s="58"/>
      <c r="J526" s="58"/>
      <c r="K526" s="58"/>
      <c r="L526" s="57"/>
      <c r="M526" s="57"/>
      <c r="N526" s="57"/>
      <c r="O526" s="58"/>
      <c r="P526" s="58"/>
      <c r="Q526" s="58"/>
      <c r="R526" s="58"/>
      <c r="S526" s="58"/>
      <c r="T526" s="58"/>
      <c r="U526" s="58"/>
      <c r="V526" s="58"/>
    </row>
    <row r="527" spans="1:22" ht="25.5" customHeight="1" x14ac:dyDescent="0.25">
      <c r="A527" s="59" t="s">
        <v>22</v>
      </c>
      <c r="B527" s="60">
        <f>SUM(B486:B526)</f>
        <v>13</v>
      </c>
      <c r="C527" s="60">
        <f>SUM(C486:C526)</f>
        <v>13</v>
      </c>
      <c r="D527" s="89"/>
      <c r="E527" s="90"/>
      <c r="F527" s="63">
        <f>O527/12</f>
        <v>402.29</v>
      </c>
      <c r="G527" s="63">
        <f>P527/12</f>
        <v>10645.85</v>
      </c>
      <c r="H527" s="63"/>
      <c r="I527" s="63"/>
      <c r="J527" s="63">
        <f>Q527/12</f>
        <v>22600</v>
      </c>
      <c r="K527" s="63">
        <f>R527/12</f>
        <v>6799.3</v>
      </c>
      <c r="L527" s="60">
        <f>SUM(L486:L526)</f>
        <v>13</v>
      </c>
      <c r="M527" s="60">
        <f>SUM(M486:M526)</f>
        <v>13</v>
      </c>
      <c r="N527" s="64"/>
      <c r="O527" s="65">
        <f t="shared" ref="O527:U527" si="60">SUM(O486:O526)</f>
        <v>4827.4800000000005</v>
      </c>
      <c r="P527" s="65">
        <f t="shared" si="60"/>
        <v>127750.2</v>
      </c>
      <c r="Q527" s="65">
        <f>SUM(Q486:Q525)</f>
        <v>271200</v>
      </c>
      <c r="R527" s="65">
        <f t="shared" si="60"/>
        <v>81591.600000000006</v>
      </c>
      <c r="S527" s="65">
        <f t="shared" si="60"/>
        <v>11358.187199999998</v>
      </c>
      <c r="T527" s="65">
        <f t="shared" si="60"/>
        <v>13702</v>
      </c>
      <c r="U527" s="65">
        <f t="shared" si="60"/>
        <v>510429.46719999996</v>
      </c>
      <c r="V527" s="66"/>
    </row>
    <row r="529" spans="1:22" x14ac:dyDescent="0.25">
      <c r="Q529" s="132">
        <v>352804</v>
      </c>
      <c r="R529" s="148">
        <f>SUM(Q527:R527)</f>
        <v>352791.6</v>
      </c>
    </row>
    <row r="532" spans="1:22" ht="15" x14ac:dyDescent="0.25">
      <c r="A532" s="1" t="s">
        <v>0</v>
      </c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" x14ac:dyDescent="0.25">
      <c r="A533" s="151" t="s">
        <v>1</v>
      </c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</row>
    <row r="534" spans="1:22" ht="15" x14ac:dyDescent="0.25">
      <c r="A534" s="2" t="s">
        <v>2</v>
      </c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3"/>
      <c r="V534" s="5"/>
    </row>
    <row r="535" spans="1:22" ht="15" x14ac:dyDescent="0.25">
      <c r="A535" s="152" t="s">
        <v>3</v>
      </c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</row>
    <row r="536" spans="1:22" ht="1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3"/>
      <c r="V536" s="3"/>
    </row>
    <row r="537" spans="1:22" ht="15" x14ac:dyDescent="0.25">
      <c r="A537" s="2" t="s">
        <v>4</v>
      </c>
      <c r="B537" s="2"/>
      <c r="C537" s="2"/>
      <c r="D537" s="6"/>
      <c r="E537" s="2"/>
      <c r="F537" s="2"/>
      <c r="G537" s="2"/>
      <c r="H537" s="2"/>
      <c r="I537" s="2"/>
      <c r="J537" s="2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" x14ac:dyDescent="0.25">
      <c r="A538" s="2" t="s">
        <v>5</v>
      </c>
      <c r="B538" s="2"/>
      <c r="C538" s="2"/>
      <c r="D538" s="6"/>
      <c r="E538" s="2"/>
      <c r="F538" s="2"/>
      <c r="G538" s="2"/>
      <c r="H538" s="2"/>
      <c r="I538" s="2"/>
      <c r="J538" s="2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" x14ac:dyDescent="0.25">
      <c r="A539" s="2" t="s">
        <v>220</v>
      </c>
      <c r="B539" s="2"/>
      <c r="C539" s="2"/>
      <c r="D539" s="6"/>
      <c r="E539" s="2"/>
      <c r="F539" s="2"/>
      <c r="G539" s="2"/>
      <c r="H539" s="2"/>
      <c r="I539" s="2"/>
      <c r="J539" s="2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7"/>
    </row>
    <row r="540" spans="1:22" ht="15" x14ac:dyDescent="0.25">
      <c r="A540" s="2" t="s">
        <v>176</v>
      </c>
      <c r="B540" s="2"/>
      <c r="C540" s="2"/>
      <c r="D540" s="6"/>
      <c r="E540" s="2"/>
      <c r="F540" s="2"/>
      <c r="G540" s="2"/>
      <c r="H540" s="2"/>
      <c r="I540" s="2"/>
      <c r="J540" s="2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7" t="s">
        <v>310</v>
      </c>
    </row>
    <row r="541" spans="1:22" ht="15" x14ac:dyDescent="0.25">
      <c r="A541" s="2"/>
      <c r="B541" s="2"/>
      <c r="C541" s="2"/>
      <c r="D541" s="6"/>
      <c r="E541" s="2"/>
      <c r="F541" s="2"/>
      <c r="G541" s="2"/>
      <c r="H541" s="2"/>
      <c r="I541" s="2"/>
      <c r="J541" s="2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x14ac:dyDescent="0.25">
      <c r="A542" s="153" t="s">
        <v>7</v>
      </c>
      <c r="B542" s="153"/>
      <c r="C542" s="153"/>
      <c r="D542" s="154" t="s">
        <v>309</v>
      </c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17"/>
    </row>
    <row r="543" spans="1:22" x14ac:dyDescent="0.25">
      <c r="A543" s="149" t="s">
        <v>311</v>
      </c>
      <c r="B543" s="149"/>
      <c r="C543" s="149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9" t="s">
        <v>8</v>
      </c>
    </row>
    <row r="544" spans="1:22" x14ac:dyDescent="0.25">
      <c r="A544" s="120"/>
      <c r="B544" s="155" t="s">
        <v>10</v>
      </c>
      <c r="C544" s="155"/>
      <c r="D544" s="120" t="s">
        <v>9</v>
      </c>
      <c r="E544" s="120" t="s">
        <v>11</v>
      </c>
      <c r="F544" s="156" t="s">
        <v>12</v>
      </c>
      <c r="G544" s="156"/>
      <c r="H544" s="156"/>
      <c r="I544" s="156"/>
      <c r="J544" s="156"/>
      <c r="K544" s="156"/>
      <c r="L544" s="155" t="s">
        <v>10</v>
      </c>
      <c r="M544" s="155"/>
      <c r="N544" s="120" t="s">
        <v>13</v>
      </c>
      <c r="O544" s="150" t="s">
        <v>14</v>
      </c>
      <c r="P544" s="150"/>
      <c r="Q544" s="150"/>
      <c r="R544" s="150"/>
      <c r="S544" s="150"/>
      <c r="T544" s="150"/>
      <c r="U544" s="121"/>
      <c r="V544" s="119" t="s">
        <v>15</v>
      </c>
    </row>
    <row r="545" spans="1:24" x14ac:dyDescent="0.25">
      <c r="A545" s="119" t="s">
        <v>16</v>
      </c>
      <c r="B545" s="149" t="s">
        <v>17</v>
      </c>
      <c r="C545" s="149"/>
      <c r="D545" s="119" t="s">
        <v>16</v>
      </c>
      <c r="E545" s="119" t="s">
        <v>18</v>
      </c>
      <c r="F545" s="118"/>
      <c r="G545" s="118"/>
      <c r="H545" s="118"/>
      <c r="I545" s="118"/>
      <c r="J545" s="118"/>
      <c r="K545" s="118"/>
      <c r="L545" s="149" t="s">
        <v>17</v>
      </c>
      <c r="M545" s="149"/>
      <c r="N545" s="119" t="s">
        <v>19</v>
      </c>
      <c r="O545" s="150" t="s">
        <v>20</v>
      </c>
      <c r="P545" s="150"/>
      <c r="Q545" s="150"/>
      <c r="R545" s="150"/>
      <c r="S545" s="150"/>
      <c r="T545" s="122" t="s">
        <v>21</v>
      </c>
      <c r="U545" s="123" t="s">
        <v>22</v>
      </c>
      <c r="V545" s="119" t="s">
        <v>23</v>
      </c>
    </row>
    <row r="546" spans="1:24" x14ac:dyDescent="0.25">
      <c r="A546" s="119" t="s">
        <v>24</v>
      </c>
      <c r="B546" s="120" t="s">
        <v>25</v>
      </c>
      <c r="C546" s="120" t="s">
        <v>26</v>
      </c>
      <c r="D546" s="119" t="s">
        <v>24</v>
      </c>
      <c r="E546" s="119" t="s">
        <v>27</v>
      </c>
      <c r="F546" s="120" t="s">
        <v>28</v>
      </c>
      <c r="G546" s="124" t="s">
        <v>29</v>
      </c>
      <c r="H546" s="124"/>
      <c r="I546" s="124" t="s">
        <v>30</v>
      </c>
      <c r="J546" s="124" t="s">
        <v>31</v>
      </c>
      <c r="K546" s="124" t="s">
        <v>305</v>
      </c>
      <c r="L546" s="120" t="s">
        <v>32</v>
      </c>
      <c r="M546" s="125" t="s">
        <v>33</v>
      </c>
      <c r="N546" s="119" t="s">
        <v>34</v>
      </c>
      <c r="O546" s="120" t="s">
        <v>28</v>
      </c>
      <c r="P546" s="120" t="s">
        <v>29</v>
      </c>
      <c r="Q546" s="124" t="s">
        <v>31</v>
      </c>
      <c r="R546" s="124" t="s">
        <v>305</v>
      </c>
      <c r="S546" s="124" t="s">
        <v>35</v>
      </c>
      <c r="T546" s="120" t="s">
        <v>36</v>
      </c>
      <c r="U546" s="123" t="s">
        <v>37</v>
      </c>
      <c r="V546" s="126"/>
    </row>
    <row r="547" spans="1:24" x14ac:dyDescent="0.25">
      <c r="A547" s="127"/>
      <c r="B547" s="127"/>
      <c r="C547" s="127"/>
      <c r="D547" s="127"/>
      <c r="E547" s="127"/>
      <c r="F547" s="127" t="s">
        <v>38</v>
      </c>
      <c r="G547" s="128" t="s">
        <v>39</v>
      </c>
      <c r="H547" s="128"/>
      <c r="I547" s="128" t="s">
        <v>40</v>
      </c>
      <c r="J547" s="128" t="s">
        <v>41</v>
      </c>
      <c r="K547" s="128" t="s">
        <v>306</v>
      </c>
      <c r="L547" s="127"/>
      <c r="M547" s="129"/>
      <c r="N547" s="127"/>
      <c r="O547" s="127" t="s">
        <v>38</v>
      </c>
      <c r="P547" s="127" t="s">
        <v>39</v>
      </c>
      <c r="Q547" s="128" t="s">
        <v>41</v>
      </c>
      <c r="R547" s="128" t="s">
        <v>306</v>
      </c>
      <c r="S547" s="128" t="s">
        <v>42</v>
      </c>
      <c r="T547" s="127" t="s">
        <v>43</v>
      </c>
      <c r="U547" s="130"/>
      <c r="V547" s="131"/>
    </row>
    <row r="548" spans="1:24" x14ac:dyDescent="0.25">
      <c r="A548" s="8"/>
      <c r="B548" s="9"/>
      <c r="C548" s="10"/>
      <c r="D548" s="10"/>
      <c r="E548" s="11"/>
      <c r="F548" s="11"/>
      <c r="G548" s="11"/>
      <c r="H548" s="11"/>
      <c r="I548" s="11"/>
      <c r="J548" s="11"/>
      <c r="K548" s="10"/>
      <c r="L548" s="9"/>
      <c r="M548" s="10"/>
      <c r="N548" s="9"/>
      <c r="O548" s="10"/>
      <c r="P548" s="10"/>
      <c r="Q548" s="10"/>
      <c r="R548" s="10"/>
      <c r="S548" s="10"/>
      <c r="T548" s="10"/>
      <c r="U548" s="10"/>
      <c r="V548" s="11"/>
    </row>
    <row r="549" spans="1:24" x14ac:dyDescent="0.25">
      <c r="A549" s="12"/>
      <c r="B549" s="13"/>
      <c r="C549" s="14"/>
      <c r="D549" s="67" t="s">
        <v>149</v>
      </c>
      <c r="E549" s="17"/>
      <c r="F549" s="17"/>
      <c r="G549" s="17"/>
      <c r="H549" s="17"/>
      <c r="I549" s="19"/>
      <c r="J549" s="19"/>
      <c r="K549" s="14"/>
      <c r="L549" s="13"/>
      <c r="M549" s="14"/>
      <c r="N549" s="13"/>
      <c r="O549" s="14"/>
      <c r="P549" s="14"/>
      <c r="Q549" s="14"/>
      <c r="R549" s="14"/>
      <c r="S549" s="14"/>
      <c r="T549" s="14"/>
      <c r="U549" s="14"/>
      <c r="V549" s="19"/>
    </row>
    <row r="550" spans="1:24" x14ac:dyDescent="0.25">
      <c r="A550" s="31" t="s">
        <v>78</v>
      </c>
      <c r="B550" s="22">
        <v>1</v>
      </c>
      <c r="C550" s="23">
        <v>1</v>
      </c>
      <c r="D550" s="32" t="s">
        <v>78</v>
      </c>
      <c r="E550" s="32">
        <v>1</v>
      </c>
      <c r="F550" s="24">
        <v>42.53</v>
      </c>
      <c r="G550" s="24">
        <f>979.2+H550</f>
        <v>1009.2</v>
      </c>
      <c r="H550" s="24">
        <v>30</v>
      </c>
      <c r="I550" s="25">
        <f>F550+G550-H550</f>
        <v>1021.73</v>
      </c>
      <c r="J550" s="139">
        <v>2760</v>
      </c>
      <c r="K550" s="140">
        <v>570.69000000000005</v>
      </c>
      <c r="L550" s="13">
        <v>1</v>
      </c>
      <c r="M550" s="23">
        <v>1</v>
      </c>
      <c r="N550" s="13">
        <v>12</v>
      </c>
      <c r="O550" s="27">
        <f>+F550*L550*N550</f>
        <v>510.36</v>
      </c>
      <c r="P550" s="27">
        <f>G550*L550*N550</f>
        <v>12110.400000000001</v>
      </c>
      <c r="Q550" s="27">
        <f>J550*L550*N550</f>
        <v>33120</v>
      </c>
      <c r="R550" s="27">
        <f>K550*L550*N550</f>
        <v>6848.2800000000007</v>
      </c>
      <c r="S550" s="28">
        <f>IF(I550&lt;650,650*0.09,IF(I550&gt;650,I550*0.09))*12</f>
        <v>1103.4684</v>
      </c>
      <c r="T550" s="26">
        <f>400+600+(600*0.09)*L550</f>
        <v>1054</v>
      </c>
      <c r="U550" s="26">
        <f>SUM(O550:T550)</f>
        <v>54746.508399999999</v>
      </c>
      <c r="V550" s="36" t="s">
        <v>215</v>
      </c>
    </row>
    <row r="551" spans="1:24" x14ac:dyDescent="0.25">
      <c r="A551" s="31"/>
      <c r="B551" s="22"/>
      <c r="C551" s="23"/>
      <c r="D551" s="32"/>
      <c r="E551" s="32"/>
      <c r="F551" s="32"/>
      <c r="G551" s="32"/>
      <c r="H551" s="32"/>
      <c r="I551" s="47"/>
      <c r="J551" s="141"/>
      <c r="K551" s="142"/>
      <c r="L551" s="22"/>
      <c r="M551" s="23"/>
      <c r="N551" s="23"/>
      <c r="O551" s="27"/>
      <c r="P551" s="27"/>
      <c r="Q551" s="27"/>
      <c r="R551" s="27"/>
      <c r="S551" s="41"/>
      <c r="T551" s="26"/>
      <c r="U551" s="26"/>
      <c r="V551" s="49"/>
    </row>
    <row r="552" spans="1:24" x14ac:dyDescent="0.25">
      <c r="A552" s="12"/>
      <c r="B552" s="42"/>
      <c r="C552" s="13"/>
      <c r="D552" s="14"/>
      <c r="E552" s="19"/>
      <c r="F552" s="19"/>
      <c r="G552" s="19"/>
      <c r="H552" s="19"/>
      <c r="I552" s="19"/>
      <c r="J552" s="139"/>
      <c r="K552" s="140"/>
      <c r="L552" s="42"/>
      <c r="M552" s="13"/>
      <c r="N552" s="44"/>
      <c r="O552" s="43"/>
      <c r="P552" s="43"/>
      <c r="Q552" s="43"/>
      <c r="R552" s="43"/>
      <c r="S552" s="43"/>
      <c r="T552" s="43"/>
      <c r="U552" s="43"/>
      <c r="V552" s="14"/>
    </row>
    <row r="553" spans="1:24" x14ac:dyDescent="0.25">
      <c r="A553" s="12"/>
      <c r="B553" s="42"/>
      <c r="C553" s="13"/>
      <c r="D553" s="68" t="s">
        <v>177</v>
      </c>
      <c r="E553" s="16"/>
      <c r="F553" s="17"/>
      <c r="G553" s="19"/>
      <c r="H553" s="19"/>
      <c r="I553" s="19"/>
      <c r="J553" s="139"/>
      <c r="K553" s="140"/>
      <c r="L553" s="42"/>
      <c r="M553" s="13"/>
      <c r="N553" s="44"/>
      <c r="O553" s="43"/>
      <c r="P553" s="43"/>
      <c r="Q553" s="43"/>
      <c r="R553" s="43"/>
      <c r="S553" s="43"/>
      <c r="T553" s="43"/>
      <c r="U553" s="43"/>
      <c r="V553" s="14"/>
    </row>
    <row r="554" spans="1:24" x14ac:dyDescent="0.25">
      <c r="A554" s="31"/>
      <c r="B554" s="22"/>
      <c r="C554" s="22"/>
      <c r="D554" s="68" t="s">
        <v>178</v>
      </c>
      <c r="E554" s="45"/>
      <c r="F554" s="24"/>
      <c r="G554" s="24"/>
      <c r="H554" s="24"/>
      <c r="I554" s="33"/>
      <c r="J554" s="140"/>
      <c r="K554" s="140"/>
      <c r="L554" s="22"/>
      <c r="M554" s="22"/>
      <c r="N554" s="13"/>
      <c r="O554" s="27"/>
      <c r="P554" s="35"/>
      <c r="Q554" s="27"/>
      <c r="R554" s="27"/>
      <c r="S554" s="28"/>
      <c r="T554" s="26"/>
      <c r="U554" s="26"/>
      <c r="V554" s="49"/>
    </row>
    <row r="555" spans="1:24" x14ac:dyDescent="0.25">
      <c r="A555" s="31" t="s">
        <v>81</v>
      </c>
      <c r="B555" s="22">
        <v>1</v>
      </c>
      <c r="C555" s="22">
        <v>0</v>
      </c>
      <c r="D555" s="32" t="s">
        <v>81</v>
      </c>
      <c r="E555" s="82">
        <v>2</v>
      </c>
      <c r="F555" s="24">
        <v>30.26</v>
      </c>
      <c r="G555" s="24">
        <f>794.79+H555</f>
        <v>876.79</v>
      </c>
      <c r="H555" s="24">
        <v>82</v>
      </c>
      <c r="I555" s="33">
        <f>F555+G555-H555</f>
        <v>825.05</v>
      </c>
      <c r="J555" s="140">
        <v>1580</v>
      </c>
      <c r="K555" s="140">
        <v>570.79</v>
      </c>
      <c r="L555" s="22">
        <v>1</v>
      </c>
      <c r="M555" s="22">
        <v>0</v>
      </c>
      <c r="N555" s="13">
        <v>12</v>
      </c>
      <c r="O555" s="27">
        <f>+F555*L555*N555</f>
        <v>363.12</v>
      </c>
      <c r="P555" s="35">
        <f>G555*L555*N555</f>
        <v>10521.48</v>
      </c>
      <c r="Q555" s="27">
        <f>J555*L555*N555</f>
        <v>18960</v>
      </c>
      <c r="R555" s="27">
        <f>K555*L555*N555</f>
        <v>6849.48</v>
      </c>
      <c r="S555" s="28">
        <f>IF(I555&lt;650,650*0.09,IF(I555&gt;650,I555*0.09))*12</f>
        <v>891.05399999999986</v>
      </c>
      <c r="T555" s="26">
        <f>400+600+(600*0.09)*L555</f>
        <v>1054</v>
      </c>
      <c r="U555" s="26">
        <f>SUM(O555:T555)</f>
        <v>38639.133999999998</v>
      </c>
      <c r="V555" s="37" t="s">
        <v>134</v>
      </c>
      <c r="X555" s="136" t="s">
        <v>232</v>
      </c>
    </row>
    <row r="556" spans="1:24" x14ac:dyDescent="0.25">
      <c r="A556" s="31"/>
      <c r="B556" s="22"/>
      <c r="C556" s="22"/>
      <c r="D556" s="32"/>
      <c r="E556" s="45"/>
      <c r="F556" s="24"/>
      <c r="G556" s="24"/>
      <c r="H556" s="24"/>
      <c r="I556" s="33"/>
      <c r="J556" s="43"/>
      <c r="K556" s="43"/>
      <c r="L556" s="22"/>
      <c r="M556" s="22"/>
      <c r="N556" s="13"/>
      <c r="O556" s="27"/>
      <c r="P556" s="35"/>
      <c r="Q556" s="27"/>
      <c r="R556" s="27"/>
      <c r="S556" s="28"/>
      <c r="T556" s="26"/>
      <c r="U556" s="26"/>
      <c r="V556" s="49"/>
    </row>
    <row r="557" spans="1:24" x14ac:dyDescent="0.25">
      <c r="A557" s="31"/>
      <c r="B557" s="22"/>
      <c r="C557" s="22"/>
      <c r="D557" s="32"/>
      <c r="E557" s="45"/>
      <c r="F557" s="24"/>
      <c r="G557" s="24"/>
      <c r="H557" s="24"/>
      <c r="I557" s="33"/>
      <c r="J557" s="43"/>
      <c r="K557" s="43"/>
      <c r="L557" s="22"/>
      <c r="M557" s="22"/>
      <c r="N557" s="13"/>
      <c r="O557" s="27"/>
      <c r="P557" s="35"/>
      <c r="Q557" s="27"/>
      <c r="R557" s="27"/>
      <c r="S557" s="28"/>
      <c r="T557" s="26"/>
      <c r="U557" s="26"/>
      <c r="V557" s="49"/>
    </row>
    <row r="558" spans="1:24" x14ac:dyDescent="0.25">
      <c r="A558" s="31"/>
      <c r="B558" s="22"/>
      <c r="C558" s="22"/>
      <c r="D558" s="32"/>
      <c r="E558" s="45"/>
      <c r="F558" s="24"/>
      <c r="G558" s="24"/>
      <c r="H558" s="24"/>
      <c r="I558" s="33"/>
      <c r="J558" s="43"/>
      <c r="K558" s="43"/>
      <c r="L558" s="22"/>
      <c r="M558" s="22"/>
      <c r="N558" s="13"/>
      <c r="O558" s="27"/>
      <c r="P558" s="35"/>
      <c r="Q558" s="27"/>
      <c r="R558" s="27"/>
      <c r="S558" s="28"/>
      <c r="T558" s="26"/>
      <c r="U558" s="26"/>
      <c r="V558" s="49"/>
    </row>
    <row r="559" spans="1:24" x14ac:dyDescent="0.25">
      <c r="A559" s="31"/>
      <c r="B559" s="22"/>
      <c r="C559" s="22"/>
      <c r="D559" s="32"/>
      <c r="E559" s="45"/>
      <c r="F559" s="24"/>
      <c r="G559" s="24"/>
      <c r="H559" s="24"/>
      <c r="I559" s="33"/>
      <c r="J559" s="43"/>
      <c r="K559" s="43"/>
      <c r="L559" s="22"/>
      <c r="M559" s="22"/>
      <c r="N559" s="13"/>
      <c r="O559" s="27"/>
      <c r="P559" s="35"/>
      <c r="Q559" s="27"/>
      <c r="R559" s="27"/>
      <c r="S559" s="28"/>
      <c r="T559" s="26"/>
      <c r="U559" s="26"/>
      <c r="V559" s="49"/>
    </row>
    <row r="560" spans="1:24" x14ac:dyDescent="0.25">
      <c r="A560" s="31"/>
      <c r="B560" s="22"/>
      <c r="C560" s="22"/>
      <c r="D560" s="32"/>
      <c r="E560" s="45"/>
      <c r="F560" s="24"/>
      <c r="G560" s="24"/>
      <c r="H560" s="24"/>
      <c r="I560" s="33"/>
      <c r="J560" s="43"/>
      <c r="K560" s="43"/>
      <c r="L560" s="22"/>
      <c r="M560" s="22"/>
      <c r="N560" s="13"/>
      <c r="O560" s="27"/>
      <c r="P560" s="35"/>
      <c r="Q560" s="27"/>
      <c r="R560" s="27"/>
      <c r="S560" s="28"/>
      <c r="T560" s="26"/>
      <c r="U560" s="26"/>
      <c r="V560" s="49"/>
    </row>
    <row r="561" spans="1:22" x14ac:dyDescent="0.25">
      <c r="A561" s="31"/>
      <c r="B561" s="22"/>
      <c r="C561" s="22"/>
      <c r="D561" s="32"/>
      <c r="E561" s="45"/>
      <c r="F561" s="24"/>
      <c r="G561" s="24"/>
      <c r="H561" s="24"/>
      <c r="I561" s="33"/>
      <c r="J561" s="43"/>
      <c r="K561" s="43"/>
      <c r="L561" s="22"/>
      <c r="M561" s="22"/>
      <c r="N561" s="13"/>
      <c r="O561" s="27"/>
      <c r="P561" s="35"/>
      <c r="Q561" s="27"/>
      <c r="R561" s="27"/>
      <c r="S561" s="28"/>
      <c r="T561" s="26"/>
      <c r="U561" s="26"/>
      <c r="V561" s="49"/>
    </row>
    <row r="562" spans="1:22" x14ac:dyDescent="0.25">
      <c r="A562" s="31"/>
      <c r="B562" s="22"/>
      <c r="C562" s="22"/>
      <c r="D562" s="32"/>
      <c r="E562" s="45"/>
      <c r="F562" s="24"/>
      <c r="G562" s="24"/>
      <c r="H562" s="24"/>
      <c r="I562" s="33"/>
      <c r="J562" s="43"/>
      <c r="K562" s="43"/>
      <c r="L562" s="22"/>
      <c r="M562" s="22"/>
      <c r="N562" s="13"/>
      <c r="O562" s="27"/>
      <c r="P562" s="35"/>
      <c r="Q562" s="27"/>
      <c r="R562" s="27"/>
      <c r="S562" s="28"/>
      <c r="T562" s="26"/>
      <c r="U562" s="26"/>
      <c r="V562" s="49"/>
    </row>
    <row r="563" spans="1:22" x14ac:dyDescent="0.25">
      <c r="A563" s="31"/>
      <c r="B563" s="22"/>
      <c r="C563" s="22"/>
      <c r="D563" s="32"/>
      <c r="E563" s="45"/>
      <c r="F563" s="24"/>
      <c r="G563" s="24"/>
      <c r="H563" s="24"/>
      <c r="I563" s="33"/>
      <c r="J563" s="43"/>
      <c r="K563" s="43"/>
      <c r="L563" s="22"/>
      <c r="M563" s="22"/>
      <c r="N563" s="13"/>
      <c r="O563" s="27"/>
      <c r="P563" s="35"/>
      <c r="Q563" s="27"/>
      <c r="R563" s="27"/>
      <c r="S563" s="28"/>
      <c r="T563" s="26"/>
      <c r="U563" s="26"/>
      <c r="V563" s="49"/>
    </row>
    <row r="564" spans="1:22" x14ac:dyDescent="0.25">
      <c r="A564" s="31"/>
      <c r="B564" s="22"/>
      <c r="C564" s="22"/>
      <c r="D564" s="32"/>
      <c r="E564" s="45"/>
      <c r="F564" s="24"/>
      <c r="G564" s="24"/>
      <c r="H564" s="24"/>
      <c r="I564" s="33"/>
      <c r="J564" s="43"/>
      <c r="K564" s="43"/>
      <c r="L564" s="22"/>
      <c r="M564" s="22"/>
      <c r="N564" s="13"/>
      <c r="O564" s="27"/>
      <c r="P564" s="35"/>
      <c r="Q564" s="27"/>
      <c r="R564" s="27"/>
      <c r="S564" s="28"/>
      <c r="T564" s="26"/>
      <c r="U564" s="26"/>
      <c r="V564" s="49"/>
    </row>
    <row r="565" spans="1:22" x14ac:dyDescent="0.25">
      <c r="A565" s="31"/>
      <c r="B565" s="22"/>
      <c r="C565" s="22"/>
      <c r="D565" s="32"/>
      <c r="E565" s="45"/>
      <c r="F565" s="24"/>
      <c r="G565" s="24"/>
      <c r="H565" s="24"/>
      <c r="I565" s="33"/>
      <c r="J565" s="43"/>
      <c r="K565" s="43"/>
      <c r="L565" s="22"/>
      <c r="M565" s="22"/>
      <c r="N565" s="13"/>
      <c r="O565" s="27"/>
      <c r="P565" s="35"/>
      <c r="Q565" s="27"/>
      <c r="R565" s="27"/>
      <c r="S565" s="28"/>
      <c r="T565" s="26"/>
      <c r="U565" s="26"/>
      <c r="V565" s="49"/>
    </row>
    <row r="566" spans="1:22" x14ac:dyDescent="0.25">
      <c r="A566" s="31"/>
      <c r="B566" s="22"/>
      <c r="C566" s="22"/>
      <c r="D566" s="32"/>
      <c r="E566" s="45"/>
      <c r="F566" s="24"/>
      <c r="G566" s="24"/>
      <c r="H566" s="24"/>
      <c r="I566" s="33"/>
      <c r="J566" s="43"/>
      <c r="K566" s="43"/>
      <c r="L566" s="22"/>
      <c r="M566" s="22"/>
      <c r="N566" s="13"/>
      <c r="O566" s="27"/>
      <c r="P566" s="35"/>
      <c r="Q566" s="27"/>
      <c r="R566" s="27"/>
      <c r="S566" s="28"/>
      <c r="T566" s="26"/>
      <c r="U566" s="26"/>
      <c r="V566" s="49"/>
    </row>
    <row r="567" spans="1:22" x14ac:dyDescent="0.25">
      <c r="A567" s="31"/>
      <c r="B567" s="22"/>
      <c r="C567" s="22"/>
      <c r="D567" s="32"/>
      <c r="E567" s="45"/>
      <c r="F567" s="24"/>
      <c r="G567" s="24"/>
      <c r="H567" s="24"/>
      <c r="I567" s="33"/>
      <c r="J567" s="43"/>
      <c r="K567" s="43"/>
      <c r="L567" s="22"/>
      <c r="M567" s="22"/>
      <c r="N567" s="13"/>
      <c r="O567" s="27"/>
      <c r="P567" s="35"/>
      <c r="Q567" s="27"/>
      <c r="R567" s="27"/>
      <c r="S567" s="28"/>
      <c r="T567" s="26"/>
      <c r="U567" s="26"/>
      <c r="V567" s="49"/>
    </row>
    <row r="568" spans="1:22" x14ac:dyDescent="0.25">
      <c r="A568" s="31"/>
      <c r="B568" s="22"/>
      <c r="C568" s="22"/>
      <c r="D568" s="32"/>
      <c r="E568" s="45"/>
      <c r="F568" s="24"/>
      <c r="G568" s="24"/>
      <c r="H568" s="24"/>
      <c r="I568" s="33"/>
      <c r="J568" s="43"/>
      <c r="K568" s="43"/>
      <c r="L568" s="22"/>
      <c r="M568" s="22"/>
      <c r="N568" s="13"/>
      <c r="O568" s="27"/>
      <c r="P568" s="35"/>
      <c r="Q568" s="27"/>
      <c r="R568" s="27"/>
      <c r="S568" s="28"/>
      <c r="T568" s="26"/>
      <c r="U568" s="26"/>
      <c r="V568" s="49"/>
    </row>
    <row r="569" spans="1:22" x14ac:dyDescent="0.25">
      <c r="A569" s="31"/>
      <c r="B569" s="22"/>
      <c r="C569" s="22"/>
      <c r="D569" s="32"/>
      <c r="E569" s="45"/>
      <c r="F569" s="24"/>
      <c r="G569" s="24"/>
      <c r="H569" s="24"/>
      <c r="I569" s="33"/>
      <c r="J569" s="43"/>
      <c r="K569" s="43"/>
      <c r="L569" s="22"/>
      <c r="M569" s="22"/>
      <c r="N569" s="13"/>
      <c r="O569" s="27"/>
      <c r="P569" s="35"/>
      <c r="Q569" s="27"/>
      <c r="R569" s="27"/>
      <c r="S569" s="28"/>
      <c r="T569" s="26"/>
      <c r="U569" s="26"/>
      <c r="V569" s="49"/>
    </row>
    <row r="570" spans="1:22" x14ac:dyDescent="0.25">
      <c r="A570" s="31"/>
      <c r="B570" s="22"/>
      <c r="C570" s="22"/>
      <c r="D570" s="32"/>
      <c r="E570" s="45"/>
      <c r="F570" s="24"/>
      <c r="G570" s="24"/>
      <c r="H570" s="24"/>
      <c r="I570" s="33"/>
      <c r="J570" s="43"/>
      <c r="K570" s="43"/>
      <c r="L570" s="22"/>
      <c r="M570" s="22"/>
      <c r="N570" s="13"/>
      <c r="O570" s="27"/>
      <c r="P570" s="35"/>
      <c r="Q570" s="27"/>
      <c r="R570" s="27"/>
      <c r="S570" s="28"/>
      <c r="T570" s="26"/>
      <c r="U570" s="26"/>
      <c r="V570" s="49"/>
    </row>
    <row r="571" spans="1:22" x14ac:dyDescent="0.25">
      <c r="A571" s="31"/>
      <c r="B571" s="22"/>
      <c r="C571" s="22"/>
      <c r="D571" s="32"/>
      <c r="E571" s="45"/>
      <c r="F571" s="24"/>
      <c r="G571" s="24"/>
      <c r="H571" s="24"/>
      <c r="I571" s="33"/>
      <c r="J571" s="43"/>
      <c r="K571" s="43"/>
      <c r="L571" s="22"/>
      <c r="M571" s="22"/>
      <c r="N571" s="13"/>
      <c r="O571" s="27"/>
      <c r="P571" s="35"/>
      <c r="Q571" s="27"/>
      <c r="R571" s="27"/>
      <c r="S571" s="28"/>
      <c r="T571" s="26"/>
      <c r="U571" s="26"/>
      <c r="V571" s="49"/>
    </row>
    <row r="572" spans="1:22" x14ac:dyDescent="0.25">
      <c r="A572" s="31"/>
      <c r="B572" s="22"/>
      <c r="C572" s="22"/>
      <c r="D572" s="32"/>
      <c r="E572" s="45"/>
      <c r="F572" s="24"/>
      <c r="G572" s="24"/>
      <c r="H572" s="24"/>
      <c r="I572" s="33"/>
      <c r="J572" s="43"/>
      <c r="K572" s="43"/>
      <c r="L572" s="22"/>
      <c r="M572" s="22"/>
      <c r="N572" s="13"/>
      <c r="O572" s="27"/>
      <c r="P572" s="35"/>
      <c r="Q572" s="27"/>
      <c r="R572" s="27"/>
      <c r="S572" s="28"/>
      <c r="T572" s="26"/>
      <c r="U572" s="26"/>
      <c r="V572" s="49"/>
    </row>
    <row r="573" spans="1:22" x14ac:dyDescent="0.25">
      <c r="A573" s="31"/>
      <c r="B573" s="22"/>
      <c r="C573" s="22"/>
      <c r="D573" s="32"/>
      <c r="E573" s="45"/>
      <c r="F573" s="24"/>
      <c r="G573" s="24"/>
      <c r="H573" s="24"/>
      <c r="I573" s="33"/>
      <c r="J573" s="43"/>
      <c r="K573" s="43"/>
      <c r="L573" s="22"/>
      <c r="M573" s="22"/>
      <c r="N573" s="13"/>
      <c r="O573" s="27"/>
      <c r="P573" s="35"/>
      <c r="Q573" s="27"/>
      <c r="R573" s="27"/>
      <c r="S573" s="28"/>
      <c r="T573" s="26"/>
      <c r="U573" s="26"/>
      <c r="V573" s="49"/>
    </row>
    <row r="574" spans="1:22" x14ac:dyDescent="0.25">
      <c r="A574" s="31"/>
      <c r="B574" s="22"/>
      <c r="C574" s="22"/>
      <c r="D574" s="32"/>
      <c r="E574" s="45"/>
      <c r="F574" s="24"/>
      <c r="G574" s="24"/>
      <c r="H574" s="24"/>
      <c r="I574" s="33"/>
      <c r="J574" s="43"/>
      <c r="K574" s="43"/>
      <c r="L574" s="22"/>
      <c r="M574" s="22"/>
      <c r="N574" s="13"/>
      <c r="O574" s="27"/>
      <c r="P574" s="35"/>
      <c r="Q574" s="27"/>
      <c r="R574" s="27"/>
      <c r="S574" s="28"/>
      <c r="T574" s="26"/>
      <c r="U574" s="26"/>
      <c r="V574" s="49"/>
    </row>
    <row r="575" spans="1:22" x14ac:dyDescent="0.25">
      <c r="A575" s="31"/>
      <c r="B575" s="22"/>
      <c r="C575" s="22"/>
      <c r="D575" s="32"/>
      <c r="E575" s="45"/>
      <c r="F575" s="24"/>
      <c r="G575" s="24"/>
      <c r="H575" s="24"/>
      <c r="I575" s="33"/>
      <c r="J575" s="43"/>
      <c r="K575" s="43"/>
      <c r="L575" s="22"/>
      <c r="M575" s="22"/>
      <c r="N575" s="13"/>
      <c r="O575" s="27"/>
      <c r="P575" s="35"/>
      <c r="Q575" s="27"/>
      <c r="R575" s="27"/>
      <c r="S575" s="28"/>
      <c r="T575" s="26"/>
      <c r="U575" s="26"/>
      <c r="V575" s="49"/>
    </row>
    <row r="576" spans="1:22" x14ac:dyDescent="0.25">
      <c r="A576" s="31"/>
      <c r="B576" s="22"/>
      <c r="C576" s="22"/>
      <c r="D576" s="32"/>
      <c r="E576" s="45"/>
      <c r="F576" s="24"/>
      <c r="G576" s="24"/>
      <c r="H576" s="24"/>
      <c r="I576" s="33"/>
      <c r="J576" s="43"/>
      <c r="K576" s="43"/>
      <c r="L576" s="22"/>
      <c r="M576" s="22"/>
      <c r="N576" s="13"/>
      <c r="O576" s="27"/>
      <c r="P576" s="35"/>
      <c r="Q576" s="27"/>
      <c r="R576" s="27"/>
      <c r="S576" s="28"/>
      <c r="T576" s="26"/>
      <c r="U576" s="26"/>
      <c r="V576" s="49"/>
    </row>
    <row r="577" spans="1:22" x14ac:dyDescent="0.25">
      <c r="A577" s="31"/>
      <c r="B577" s="22"/>
      <c r="C577" s="22"/>
      <c r="D577" s="32"/>
      <c r="E577" s="45"/>
      <c r="F577" s="24"/>
      <c r="G577" s="24"/>
      <c r="H577" s="24"/>
      <c r="I577" s="33"/>
      <c r="J577" s="43"/>
      <c r="K577" s="43"/>
      <c r="L577" s="22"/>
      <c r="M577" s="22"/>
      <c r="N577" s="13"/>
      <c r="O577" s="27"/>
      <c r="P577" s="35"/>
      <c r="Q577" s="27"/>
      <c r="R577" s="27"/>
      <c r="S577" s="28"/>
      <c r="T577" s="26"/>
      <c r="U577" s="26"/>
      <c r="V577" s="49"/>
    </row>
    <row r="578" spans="1:22" x14ac:dyDescent="0.25">
      <c r="A578" s="31"/>
      <c r="B578" s="22"/>
      <c r="C578" s="22"/>
      <c r="D578" s="32"/>
      <c r="E578" s="45"/>
      <c r="F578" s="24"/>
      <c r="G578" s="24"/>
      <c r="H578" s="24"/>
      <c r="I578" s="33"/>
      <c r="J578" s="43"/>
      <c r="K578" s="43"/>
      <c r="L578" s="22"/>
      <c r="M578" s="22"/>
      <c r="N578" s="13"/>
      <c r="O578" s="27"/>
      <c r="P578" s="35"/>
      <c r="Q578" s="27"/>
      <c r="R578" s="27"/>
      <c r="S578" s="28"/>
      <c r="T578" s="26"/>
      <c r="U578" s="26"/>
      <c r="V578" s="49"/>
    </row>
    <row r="579" spans="1:22" x14ac:dyDescent="0.25">
      <c r="A579" s="31"/>
      <c r="B579" s="22"/>
      <c r="C579" s="22"/>
      <c r="D579" s="32"/>
      <c r="E579" s="45"/>
      <c r="F579" s="24"/>
      <c r="G579" s="24"/>
      <c r="H579" s="24"/>
      <c r="I579" s="33"/>
      <c r="J579" s="43"/>
      <c r="K579" s="43"/>
      <c r="L579" s="22"/>
      <c r="M579" s="22"/>
      <c r="N579" s="13"/>
      <c r="O579" s="27"/>
      <c r="P579" s="35"/>
      <c r="Q579" s="27"/>
      <c r="R579" s="27"/>
      <c r="S579" s="28"/>
      <c r="T579" s="26"/>
      <c r="U579" s="26"/>
      <c r="V579" s="49"/>
    </row>
    <row r="580" spans="1:22" x14ac:dyDescent="0.25">
      <c r="A580" s="31"/>
      <c r="B580" s="22"/>
      <c r="C580" s="22"/>
      <c r="D580" s="32"/>
      <c r="E580" s="45"/>
      <c r="F580" s="24"/>
      <c r="G580" s="24"/>
      <c r="H580" s="24"/>
      <c r="I580" s="33"/>
      <c r="J580" s="43"/>
      <c r="K580" s="43"/>
      <c r="L580" s="22"/>
      <c r="M580" s="22"/>
      <c r="N580" s="13"/>
      <c r="O580" s="27"/>
      <c r="P580" s="35"/>
      <c r="Q580" s="27"/>
      <c r="R580" s="27"/>
      <c r="S580" s="28"/>
      <c r="T580" s="26"/>
      <c r="U580" s="26"/>
      <c r="V580" s="49"/>
    </row>
    <row r="581" spans="1:22" x14ac:dyDescent="0.25">
      <c r="A581" s="31"/>
      <c r="B581" s="22"/>
      <c r="C581" s="22"/>
      <c r="D581" s="32"/>
      <c r="E581" s="45"/>
      <c r="F581" s="24"/>
      <c r="G581" s="24"/>
      <c r="H581" s="24"/>
      <c r="I581" s="33"/>
      <c r="J581" s="43"/>
      <c r="K581" s="43"/>
      <c r="L581" s="22"/>
      <c r="M581" s="22"/>
      <c r="N581" s="13"/>
      <c r="O581" s="27"/>
      <c r="P581" s="35"/>
      <c r="Q581" s="27"/>
      <c r="R581" s="27"/>
      <c r="S581" s="28"/>
      <c r="T581" s="26"/>
      <c r="U581" s="26"/>
      <c r="V581" s="49"/>
    </row>
    <row r="582" spans="1:22" x14ac:dyDescent="0.25">
      <c r="A582" s="31"/>
      <c r="B582" s="22"/>
      <c r="C582" s="22"/>
      <c r="D582" s="32"/>
      <c r="E582" s="45"/>
      <c r="F582" s="24"/>
      <c r="G582" s="24"/>
      <c r="H582" s="24"/>
      <c r="I582" s="33"/>
      <c r="J582" s="43"/>
      <c r="K582" s="43"/>
      <c r="L582" s="22"/>
      <c r="M582" s="22"/>
      <c r="N582" s="13"/>
      <c r="O582" s="27"/>
      <c r="P582" s="35"/>
      <c r="Q582" s="27"/>
      <c r="R582" s="27"/>
      <c r="S582" s="28"/>
      <c r="T582" s="26"/>
      <c r="U582" s="26"/>
      <c r="V582" s="49"/>
    </row>
    <row r="583" spans="1:22" x14ac:dyDescent="0.25">
      <c r="A583" s="31"/>
      <c r="B583" s="22"/>
      <c r="C583" s="22"/>
      <c r="D583" s="32"/>
      <c r="E583" s="45"/>
      <c r="F583" s="24"/>
      <c r="G583" s="24"/>
      <c r="H583" s="24"/>
      <c r="I583" s="33"/>
      <c r="J583" s="43"/>
      <c r="K583" s="43"/>
      <c r="L583" s="22"/>
      <c r="M583" s="22"/>
      <c r="N583" s="13"/>
      <c r="O583" s="27"/>
      <c r="P583" s="35"/>
      <c r="Q583" s="27"/>
      <c r="R583" s="27"/>
      <c r="S583" s="28"/>
      <c r="T583" s="26"/>
      <c r="U583" s="26"/>
      <c r="V583" s="49"/>
    </row>
    <row r="584" spans="1:22" x14ac:dyDescent="0.25">
      <c r="A584" s="31"/>
      <c r="B584" s="22"/>
      <c r="C584" s="22"/>
      <c r="D584" s="68"/>
      <c r="E584" s="45"/>
      <c r="F584" s="32"/>
      <c r="G584" s="32"/>
      <c r="H584" s="32"/>
      <c r="I584" s="33"/>
      <c r="J584" s="43"/>
      <c r="K584" s="43"/>
      <c r="L584" s="13"/>
      <c r="M584" s="23"/>
      <c r="N584" s="13"/>
      <c r="O584" s="27"/>
      <c r="P584" s="35"/>
      <c r="Q584" s="27"/>
      <c r="R584" s="27"/>
      <c r="S584" s="27"/>
      <c r="T584" s="27"/>
      <c r="U584" s="27"/>
      <c r="V584" s="49"/>
    </row>
    <row r="585" spans="1:22" x14ac:dyDescent="0.25">
      <c r="A585" s="12"/>
      <c r="B585" s="42"/>
      <c r="C585" s="13"/>
      <c r="D585" s="73"/>
      <c r="E585" s="16"/>
      <c r="F585" s="17"/>
      <c r="G585" s="43"/>
      <c r="H585" s="43"/>
      <c r="I585" s="43"/>
      <c r="J585" s="43"/>
      <c r="K585" s="43"/>
      <c r="L585" s="42"/>
      <c r="M585" s="13"/>
      <c r="N585" s="44"/>
      <c r="O585" s="43"/>
      <c r="P585" s="43"/>
      <c r="Q585" s="43"/>
      <c r="R585" s="43"/>
      <c r="S585" s="43"/>
      <c r="T585" s="43"/>
      <c r="U585" s="43"/>
      <c r="V585" s="14"/>
    </row>
    <row r="586" spans="1:22" x14ac:dyDescent="0.25">
      <c r="A586" s="12"/>
      <c r="B586" s="42"/>
      <c r="C586" s="13"/>
      <c r="D586" s="73"/>
      <c r="E586" s="16"/>
      <c r="F586" s="17"/>
      <c r="G586" s="43"/>
      <c r="H586" s="43"/>
      <c r="I586" s="43"/>
      <c r="J586" s="43"/>
      <c r="K586" s="43"/>
      <c r="L586" s="42"/>
      <c r="M586" s="13"/>
      <c r="N586" s="44"/>
      <c r="O586" s="43"/>
      <c r="P586" s="43"/>
      <c r="Q586" s="43"/>
      <c r="R586" s="43"/>
      <c r="S586" s="43"/>
      <c r="T586" s="43"/>
      <c r="U586" s="43"/>
      <c r="V586" s="14"/>
    </row>
    <row r="587" spans="1:22" x14ac:dyDescent="0.25">
      <c r="A587" s="12"/>
      <c r="B587" s="42"/>
      <c r="C587" s="13"/>
      <c r="D587" s="73"/>
      <c r="E587" s="16"/>
      <c r="F587" s="17"/>
      <c r="G587" s="43"/>
      <c r="H587" s="43"/>
      <c r="I587" s="43"/>
      <c r="J587" s="43"/>
      <c r="K587" s="43"/>
      <c r="L587" s="42"/>
      <c r="M587" s="13"/>
      <c r="N587" s="44"/>
      <c r="O587" s="43"/>
      <c r="P587" s="43"/>
      <c r="Q587" s="43"/>
      <c r="R587" s="43"/>
      <c r="S587" s="43"/>
      <c r="T587" s="43"/>
      <c r="U587" s="43"/>
      <c r="V587" s="14"/>
    </row>
    <row r="588" spans="1:22" x14ac:dyDescent="0.25">
      <c r="A588" s="31"/>
      <c r="B588" s="22"/>
      <c r="C588" s="23"/>
      <c r="D588" s="32"/>
      <c r="E588" s="45"/>
      <c r="F588" s="24"/>
      <c r="G588" s="24"/>
      <c r="H588" s="24"/>
      <c r="I588" s="33"/>
      <c r="J588" s="43"/>
      <c r="K588" s="43"/>
      <c r="L588" s="22"/>
      <c r="M588" s="23"/>
      <c r="N588" s="13"/>
      <c r="O588" s="27"/>
      <c r="P588" s="35"/>
      <c r="Q588" s="27"/>
      <c r="R588" s="27"/>
      <c r="S588" s="28"/>
      <c r="T588" s="26"/>
      <c r="U588" s="26"/>
      <c r="V588" s="37"/>
    </row>
    <row r="589" spans="1:22" x14ac:dyDescent="0.25">
      <c r="A589" s="31"/>
      <c r="B589" s="22"/>
      <c r="C589" s="23"/>
      <c r="D589" s="32"/>
      <c r="E589" s="45"/>
      <c r="F589" s="24"/>
      <c r="G589" s="24"/>
      <c r="H589" s="24"/>
      <c r="I589" s="25"/>
      <c r="J589" s="43"/>
      <c r="K589" s="43"/>
      <c r="L589" s="22"/>
      <c r="M589" s="23"/>
      <c r="N589" s="13"/>
      <c r="O589" s="27"/>
      <c r="P589" s="35"/>
      <c r="Q589" s="27"/>
      <c r="R589" s="27"/>
      <c r="S589" s="28"/>
      <c r="T589" s="26"/>
      <c r="U589" s="26"/>
      <c r="V589" s="37"/>
    </row>
    <row r="590" spans="1:22" x14ac:dyDescent="0.25">
      <c r="A590" s="31"/>
      <c r="B590" s="22"/>
      <c r="C590" s="23"/>
      <c r="D590" s="32"/>
      <c r="E590" s="14"/>
      <c r="F590" s="29"/>
      <c r="G590" s="43"/>
      <c r="H590" s="43"/>
      <c r="I590" s="43"/>
      <c r="J590" s="43"/>
      <c r="K590" s="43"/>
      <c r="L590" s="22"/>
      <c r="M590" s="23"/>
      <c r="N590" s="13"/>
      <c r="O590" s="43"/>
      <c r="P590" s="43"/>
      <c r="Q590" s="43"/>
      <c r="R590" s="43"/>
      <c r="S590" s="43"/>
      <c r="T590" s="43"/>
      <c r="U590" s="43"/>
      <c r="V590" s="37"/>
    </row>
    <row r="591" spans="1:22" x14ac:dyDescent="0.25">
      <c r="A591" s="56"/>
      <c r="B591" s="57"/>
      <c r="C591" s="57"/>
      <c r="D591" s="57"/>
      <c r="E591" s="58"/>
      <c r="F591" s="58"/>
      <c r="G591" s="58"/>
      <c r="H591" s="58"/>
      <c r="I591" s="58"/>
      <c r="J591" s="58"/>
      <c r="K591" s="58"/>
      <c r="L591" s="57"/>
      <c r="M591" s="57"/>
      <c r="N591" s="57"/>
      <c r="O591" s="58"/>
      <c r="P591" s="58"/>
      <c r="Q591" s="58"/>
      <c r="R591" s="58"/>
      <c r="S591" s="58"/>
      <c r="T591" s="58"/>
      <c r="U591" s="58"/>
      <c r="V591" s="58"/>
    </row>
    <row r="592" spans="1:22" ht="22.5" customHeight="1" x14ac:dyDescent="0.25">
      <c r="A592" s="59" t="s">
        <v>22</v>
      </c>
      <c r="B592" s="60">
        <f>SUM(B550:B591)</f>
        <v>2</v>
      </c>
      <c r="C592" s="60">
        <f>SUM(C550:C591)</f>
        <v>1</v>
      </c>
      <c r="D592" s="89"/>
      <c r="E592" s="90"/>
      <c r="F592" s="63">
        <f>O592/12</f>
        <v>72.790000000000006</v>
      </c>
      <c r="G592" s="63">
        <f>P592/12</f>
        <v>1885.99</v>
      </c>
      <c r="H592" s="63"/>
      <c r="I592" s="63"/>
      <c r="J592" s="63">
        <f>Q592/12</f>
        <v>4340</v>
      </c>
      <c r="K592" s="63">
        <f>R592/12</f>
        <v>1141.48</v>
      </c>
      <c r="L592" s="60">
        <f>SUM(L550:L591)</f>
        <v>2</v>
      </c>
      <c r="M592" s="60">
        <f>SUM(M550:M591)</f>
        <v>1</v>
      </c>
      <c r="N592" s="64"/>
      <c r="O592" s="65">
        <f t="shared" ref="O592:U592" si="61">SUM(O550:O591)</f>
        <v>873.48</v>
      </c>
      <c r="P592" s="65">
        <f t="shared" si="61"/>
        <v>22631.88</v>
      </c>
      <c r="Q592" s="65">
        <f t="shared" si="61"/>
        <v>52080</v>
      </c>
      <c r="R592" s="65">
        <f t="shared" si="61"/>
        <v>13697.76</v>
      </c>
      <c r="S592" s="65">
        <f t="shared" si="61"/>
        <v>1994.5223999999998</v>
      </c>
      <c r="T592" s="65">
        <f t="shared" si="61"/>
        <v>2108</v>
      </c>
      <c r="U592" s="65">
        <f t="shared" si="61"/>
        <v>93385.642399999997</v>
      </c>
      <c r="V592" s="66"/>
    </row>
    <row r="594" spans="1:22" x14ac:dyDescent="0.25">
      <c r="Q594" s="132">
        <v>65779</v>
      </c>
      <c r="R594" s="147">
        <f>SUM(Q592:R592)</f>
        <v>65777.759999999995</v>
      </c>
    </row>
    <row r="599" spans="1:22" ht="15" x14ac:dyDescent="0.25">
      <c r="A599" s="1" t="s">
        <v>0</v>
      </c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" x14ac:dyDescent="0.25">
      <c r="A600" s="151" t="s">
        <v>1</v>
      </c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</row>
    <row r="601" spans="1:22" ht="15" x14ac:dyDescent="0.25">
      <c r="A601" s="2" t="s">
        <v>2</v>
      </c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3"/>
      <c r="V601" s="5"/>
    </row>
    <row r="602" spans="1:22" ht="15" x14ac:dyDescent="0.25">
      <c r="A602" s="152" t="s">
        <v>3</v>
      </c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</row>
    <row r="603" spans="1:22" ht="1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3"/>
      <c r="V603" s="3"/>
    </row>
    <row r="604" spans="1:22" ht="15" x14ac:dyDescent="0.25">
      <c r="A604" s="2" t="s">
        <v>4</v>
      </c>
      <c r="B604" s="2"/>
      <c r="C604" s="2"/>
      <c r="D604" s="6"/>
      <c r="E604" s="2"/>
      <c r="F604" s="2"/>
      <c r="G604" s="2"/>
      <c r="H604" s="2"/>
      <c r="I604" s="2"/>
      <c r="J604" s="2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" x14ac:dyDescent="0.25">
      <c r="A605" s="2" t="s">
        <v>5</v>
      </c>
      <c r="B605" s="2"/>
      <c r="C605" s="2"/>
      <c r="D605" s="6"/>
      <c r="E605" s="2"/>
      <c r="F605" s="2"/>
      <c r="G605" s="2"/>
      <c r="H605" s="2"/>
      <c r="I605" s="2"/>
      <c r="J605" s="2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" x14ac:dyDescent="0.25">
      <c r="A606" s="2" t="s">
        <v>220</v>
      </c>
      <c r="B606" s="2"/>
      <c r="C606" s="2"/>
      <c r="D606" s="6"/>
      <c r="E606" s="2"/>
      <c r="F606" s="2"/>
      <c r="G606" s="2"/>
      <c r="H606" s="2"/>
      <c r="I606" s="2"/>
      <c r="J606" s="2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7"/>
    </row>
    <row r="607" spans="1:22" ht="15" x14ac:dyDescent="0.25">
      <c r="A607" s="2" t="s">
        <v>179</v>
      </c>
      <c r="B607" s="2"/>
      <c r="C607" s="2"/>
      <c r="D607" s="6"/>
      <c r="E607" s="2"/>
      <c r="F607" s="2"/>
      <c r="G607" s="2"/>
      <c r="H607" s="2"/>
      <c r="I607" s="2"/>
      <c r="J607" s="2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7" t="s">
        <v>310</v>
      </c>
    </row>
    <row r="608" spans="1:22" ht="15" x14ac:dyDescent="0.25">
      <c r="A608" s="2"/>
      <c r="B608" s="2"/>
      <c r="C608" s="2"/>
      <c r="D608" s="6"/>
      <c r="E608" s="2"/>
      <c r="F608" s="2"/>
      <c r="G608" s="2"/>
      <c r="H608" s="2"/>
      <c r="I608" s="2"/>
      <c r="J608" s="2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x14ac:dyDescent="0.25">
      <c r="A609" s="153" t="s">
        <v>7</v>
      </c>
      <c r="B609" s="153"/>
      <c r="C609" s="153"/>
      <c r="D609" s="154" t="s">
        <v>309</v>
      </c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17"/>
    </row>
    <row r="610" spans="1:22" x14ac:dyDescent="0.25">
      <c r="A610" s="149" t="s">
        <v>311</v>
      </c>
      <c r="B610" s="149"/>
      <c r="C610" s="149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9" t="s">
        <v>8</v>
      </c>
    </row>
    <row r="611" spans="1:22" x14ac:dyDescent="0.25">
      <c r="A611" s="120"/>
      <c r="B611" s="155" t="s">
        <v>10</v>
      </c>
      <c r="C611" s="155"/>
      <c r="D611" s="120" t="s">
        <v>9</v>
      </c>
      <c r="E611" s="120" t="s">
        <v>11</v>
      </c>
      <c r="F611" s="156" t="s">
        <v>12</v>
      </c>
      <c r="G611" s="156"/>
      <c r="H611" s="156"/>
      <c r="I611" s="156"/>
      <c r="J611" s="156"/>
      <c r="K611" s="156"/>
      <c r="L611" s="155" t="s">
        <v>10</v>
      </c>
      <c r="M611" s="155"/>
      <c r="N611" s="120" t="s">
        <v>13</v>
      </c>
      <c r="O611" s="150" t="s">
        <v>14</v>
      </c>
      <c r="P611" s="150"/>
      <c r="Q611" s="150"/>
      <c r="R611" s="150"/>
      <c r="S611" s="150"/>
      <c r="T611" s="150"/>
      <c r="U611" s="121"/>
      <c r="V611" s="119" t="s">
        <v>15</v>
      </c>
    </row>
    <row r="612" spans="1:22" x14ac:dyDescent="0.25">
      <c r="A612" s="119" t="s">
        <v>16</v>
      </c>
      <c r="B612" s="149" t="s">
        <v>17</v>
      </c>
      <c r="C612" s="149"/>
      <c r="D612" s="119" t="s">
        <v>16</v>
      </c>
      <c r="E612" s="119" t="s">
        <v>18</v>
      </c>
      <c r="F612" s="118"/>
      <c r="G612" s="118"/>
      <c r="H612" s="118"/>
      <c r="I612" s="118"/>
      <c r="J612" s="118"/>
      <c r="K612" s="118"/>
      <c r="L612" s="149" t="s">
        <v>17</v>
      </c>
      <c r="M612" s="149"/>
      <c r="N612" s="119" t="s">
        <v>19</v>
      </c>
      <c r="O612" s="150" t="s">
        <v>20</v>
      </c>
      <c r="P612" s="150"/>
      <c r="Q612" s="150"/>
      <c r="R612" s="150"/>
      <c r="S612" s="150"/>
      <c r="T612" s="122" t="s">
        <v>21</v>
      </c>
      <c r="U612" s="123" t="s">
        <v>22</v>
      </c>
      <c r="V612" s="119" t="s">
        <v>23</v>
      </c>
    </row>
    <row r="613" spans="1:22" x14ac:dyDescent="0.25">
      <c r="A613" s="119" t="s">
        <v>24</v>
      </c>
      <c r="B613" s="120" t="s">
        <v>25</v>
      </c>
      <c r="C613" s="120" t="s">
        <v>26</v>
      </c>
      <c r="D613" s="119" t="s">
        <v>24</v>
      </c>
      <c r="E613" s="119" t="s">
        <v>27</v>
      </c>
      <c r="F613" s="120" t="s">
        <v>28</v>
      </c>
      <c r="G613" s="124" t="s">
        <v>29</v>
      </c>
      <c r="H613" s="124"/>
      <c r="I613" s="124" t="s">
        <v>30</v>
      </c>
      <c r="J613" s="124" t="s">
        <v>31</v>
      </c>
      <c r="K613" s="124" t="s">
        <v>305</v>
      </c>
      <c r="L613" s="120" t="s">
        <v>32</v>
      </c>
      <c r="M613" s="125" t="s">
        <v>33</v>
      </c>
      <c r="N613" s="119" t="s">
        <v>34</v>
      </c>
      <c r="O613" s="120" t="s">
        <v>28</v>
      </c>
      <c r="P613" s="120" t="s">
        <v>29</v>
      </c>
      <c r="Q613" s="124" t="s">
        <v>31</v>
      </c>
      <c r="R613" s="124" t="s">
        <v>305</v>
      </c>
      <c r="S613" s="124" t="s">
        <v>35</v>
      </c>
      <c r="T613" s="120" t="s">
        <v>36</v>
      </c>
      <c r="U613" s="123" t="s">
        <v>37</v>
      </c>
      <c r="V613" s="126"/>
    </row>
    <row r="614" spans="1:22" x14ac:dyDescent="0.25">
      <c r="A614" s="127"/>
      <c r="B614" s="127"/>
      <c r="C614" s="127"/>
      <c r="D614" s="127"/>
      <c r="E614" s="127"/>
      <c r="F614" s="127" t="s">
        <v>38</v>
      </c>
      <c r="G614" s="128" t="s">
        <v>39</v>
      </c>
      <c r="H614" s="128"/>
      <c r="I614" s="128" t="s">
        <v>40</v>
      </c>
      <c r="J614" s="128" t="s">
        <v>41</v>
      </c>
      <c r="K614" s="128" t="s">
        <v>306</v>
      </c>
      <c r="L614" s="127"/>
      <c r="M614" s="129"/>
      <c r="N614" s="127"/>
      <c r="O614" s="127" t="s">
        <v>38</v>
      </c>
      <c r="P614" s="127" t="s">
        <v>39</v>
      </c>
      <c r="Q614" s="128" t="s">
        <v>41</v>
      </c>
      <c r="R614" s="128" t="s">
        <v>306</v>
      </c>
      <c r="S614" s="128" t="s">
        <v>42</v>
      </c>
      <c r="T614" s="127" t="s">
        <v>43</v>
      </c>
      <c r="U614" s="130"/>
      <c r="V614" s="131"/>
    </row>
    <row r="615" spans="1:22" x14ac:dyDescent="0.25">
      <c r="A615" s="8"/>
      <c r="B615" s="9"/>
      <c r="C615" s="10"/>
      <c r="D615" s="10"/>
      <c r="E615" s="11"/>
      <c r="F615" s="11"/>
      <c r="G615" s="11"/>
      <c r="H615" s="11"/>
      <c r="I615" s="11"/>
      <c r="J615" s="11"/>
      <c r="K615" s="10"/>
      <c r="L615" s="9"/>
      <c r="M615" s="10"/>
      <c r="N615" s="9"/>
      <c r="O615" s="10"/>
      <c r="P615" s="10"/>
      <c r="Q615" s="10"/>
      <c r="R615" s="10"/>
      <c r="S615" s="10"/>
      <c r="T615" s="10"/>
      <c r="U615" s="10"/>
      <c r="V615" s="11"/>
    </row>
    <row r="616" spans="1:22" x14ac:dyDescent="0.25">
      <c r="A616" s="12"/>
      <c r="B616" s="13"/>
      <c r="C616" s="14"/>
      <c r="D616" s="67" t="s">
        <v>149</v>
      </c>
      <c r="E616" s="17"/>
      <c r="F616" s="17"/>
      <c r="G616" s="17"/>
      <c r="H616" s="17"/>
      <c r="I616" s="19"/>
      <c r="J616" s="19"/>
      <c r="K616" s="14"/>
      <c r="L616" s="13"/>
      <c r="M616" s="14"/>
      <c r="N616" s="13"/>
      <c r="O616" s="14"/>
      <c r="P616" s="14"/>
      <c r="Q616" s="14"/>
      <c r="R616" s="14"/>
      <c r="S616" s="14"/>
      <c r="T616" s="14"/>
      <c r="U616" s="14"/>
      <c r="V616" s="19"/>
    </row>
    <row r="617" spans="1:22" x14ac:dyDescent="0.25">
      <c r="A617" s="31" t="s">
        <v>78</v>
      </c>
      <c r="B617" s="22">
        <v>1</v>
      </c>
      <c r="C617" s="23">
        <v>1</v>
      </c>
      <c r="D617" s="32" t="s">
        <v>78</v>
      </c>
      <c r="E617" s="32">
        <v>1</v>
      </c>
      <c r="F617" s="24">
        <v>42.53</v>
      </c>
      <c r="G617" s="24">
        <f>1111.2+H617</f>
        <v>1141.2</v>
      </c>
      <c r="H617" s="24">
        <v>30</v>
      </c>
      <c r="I617" s="91">
        <f t="shared" ref="I617:I622" si="62">F617+G617-H617</f>
        <v>1153.73</v>
      </c>
      <c r="J617" s="140">
        <v>2760</v>
      </c>
      <c r="K617" s="140">
        <v>601.5</v>
      </c>
      <c r="L617" s="13">
        <v>1</v>
      </c>
      <c r="M617" s="23">
        <v>1</v>
      </c>
      <c r="N617" s="13">
        <v>12</v>
      </c>
      <c r="O617" s="27">
        <f t="shared" ref="O617:O622" si="63">+F617*L617*N617</f>
        <v>510.36</v>
      </c>
      <c r="P617" s="27">
        <f t="shared" ref="P617:P622" si="64">G617*L617*N617</f>
        <v>13694.400000000001</v>
      </c>
      <c r="Q617" s="27">
        <f t="shared" ref="Q617:Q622" si="65">J617*L617*N617</f>
        <v>33120</v>
      </c>
      <c r="R617" s="27">
        <f t="shared" ref="R617:R622" si="66">K617*L617*N617</f>
        <v>7218</v>
      </c>
      <c r="S617" s="28">
        <f t="shared" ref="S617:S622" si="67">IF(I617&lt;650,650*0.09,IF(I617&gt;650,I617*0.09))*12</f>
        <v>1246.0284000000001</v>
      </c>
      <c r="T617" s="26">
        <f t="shared" ref="T617:T622" si="68">400+600+(600*0.09)*L617</f>
        <v>1054</v>
      </c>
      <c r="U617" s="26">
        <f t="shared" ref="U617:U622" si="69">SUM(O617:T617)</f>
        <v>56842.788400000005</v>
      </c>
      <c r="V617" s="86" t="s">
        <v>214</v>
      </c>
    </row>
    <row r="618" spans="1:22" x14ac:dyDescent="0.25">
      <c r="A618" s="31" t="s">
        <v>65</v>
      </c>
      <c r="B618" s="22">
        <v>1</v>
      </c>
      <c r="C618" s="23">
        <v>1</v>
      </c>
      <c r="D618" s="32" t="s">
        <v>65</v>
      </c>
      <c r="E618" s="32">
        <v>2</v>
      </c>
      <c r="F618" s="24">
        <v>30.1</v>
      </c>
      <c r="G618" s="24">
        <f>827.12+H618</f>
        <v>902.12</v>
      </c>
      <c r="H618" s="24">
        <v>75</v>
      </c>
      <c r="I618" s="91">
        <f t="shared" si="62"/>
        <v>857.22</v>
      </c>
      <c r="J618" s="139">
        <v>1580</v>
      </c>
      <c r="K618" s="140">
        <v>595.35</v>
      </c>
      <c r="L618" s="13">
        <v>1</v>
      </c>
      <c r="M618" s="23">
        <v>1</v>
      </c>
      <c r="N618" s="13">
        <v>12</v>
      </c>
      <c r="O618" s="27">
        <f t="shared" si="63"/>
        <v>361.20000000000005</v>
      </c>
      <c r="P618" s="27">
        <f t="shared" si="64"/>
        <v>10825.44</v>
      </c>
      <c r="Q618" s="27">
        <f t="shared" si="65"/>
        <v>18960</v>
      </c>
      <c r="R618" s="27">
        <f t="shared" si="66"/>
        <v>7144.2000000000007</v>
      </c>
      <c r="S618" s="28">
        <f t="shared" si="67"/>
        <v>925.79759999999999</v>
      </c>
      <c r="T618" s="26">
        <f t="shared" si="68"/>
        <v>1054</v>
      </c>
      <c r="U618" s="26">
        <f t="shared" si="69"/>
        <v>39270.637599999995</v>
      </c>
      <c r="V618" s="37" t="s">
        <v>122</v>
      </c>
    </row>
    <row r="619" spans="1:22" x14ac:dyDescent="0.25">
      <c r="A619" s="31" t="s">
        <v>55</v>
      </c>
      <c r="B619" s="22">
        <v>1</v>
      </c>
      <c r="C619" s="23">
        <v>1</v>
      </c>
      <c r="D619" s="32" t="s">
        <v>55</v>
      </c>
      <c r="E619" s="32">
        <v>3</v>
      </c>
      <c r="F619" s="24">
        <v>23.99</v>
      </c>
      <c r="G619" s="24">
        <f>692.27+H619</f>
        <v>737.27</v>
      </c>
      <c r="H619" s="24">
        <v>45</v>
      </c>
      <c r="I619" s="91">
        <f t="shared" si="62"/>
        <v>716.26</v>
      </c>
      <c r="J619" s="139">
        <v>1400</v>
      </c>
      <c r="K619" s="140">
        <v>585.35</v>
      </c>
      <c r="L619" s="13">
        <v>1</v>
      </c>
      <c r="M619" s="23">
        <v>1</v>
      </c>
      <c r="N619" s="13">
        <v>12</v>
      </c>
      <c r="O619" s="27">
        <f t="shared" si="63"/>
        <v>287.88</v>
      </c>
      <c r="P619" s="27">
        <f t="shared" si="64"/>
        <v>8847.24</v>
      </c>
      <c r="Q619" s="27">
        <f t="shared" si="65"/>
        <v>16800</v>
      </c>
      <c r="R619" s="27">
        <f t="shared" si="66"/>
        <v>7024.2000000000007</v>
      </c>
      <c r="S619" s="28">
        <f t="shared" si="67"/>
        <v>773.56079999999997</v>
      </c>
      <c r="T619" s="26">
        <f t="shared" si="68"/>
        <v>1054</v>
      </c>
      <c r="U619" s="26">
        <f t="shared" si="69"/>
        <v>34786.880799999999</v>
      </c>
      <c r="V619" s="49" t="s">
        <v>172</v>
      </c>
    </row>
    <row r="620" spans="1:22" x14ac:dyDescent="0.25">
      <c r="A620" s="31" t="s">
        <v>53</v>
      </c>
      <c r="B620" s="22">
        <v>1</v>
      </c>
      <c r="C620" s="23">
        <v>1</v>
      </c>
      <c r="D620" s="32" t="s">
        <v>53</v>
      </c>
      <c r="E620" s="32">
        <v>4</v>
      </c>
      <c r="F620" s="24">
        <v>24.18</v>
      </c>
      <c r="G620" s="24">
        <f>738.62+H620</f>
        <v>788.62</v>
      </c>
      <c r="H620" s="24">
        <v>50</v>
      </c>
      <c r="I620" s="91">
        <f t="shared" si="62"/>
        <v>762.8</v>
      </c>
      <c r="J620" s="139">
        <v>1400</v>
      </c>
      <c r="K620" s="140">
        <v>585.35</v>
      </c>
      <c r="L620" s="13">
        <v>1</v>
      </c>
      <c r="M620" s="23">
        <v>1</v>
      </c>
      <c r="N620" s="13">
        <v>12</v>
      </c>
      <c r="O620" s="27">
        <f t="shared" si="63"/>
        <v>290.15999999999997</v>
      </c>
      <c r="P620" s="27">
        <f t="shared" si="64"/>
        <v>9463.44</v>
      </c>
      <c r="Q620" s="27">
        <f t="shared" si="65"/>
        <v>16800</v>
      </c>
      <c r="R620" s="27">
        <f t="shared" si="66"/>
        <v>7024.2000000000007</v>
      </c>
      <c r="S620" s="28">
        <f t="shared" si="67"/>
        <v>823.82399999999984</v>
      </c>
      <c r="T620" s="26">
        <f t="shared" si="68"/>
        <v>1054</v>
      </c>
      <c r="U620" s="26">
        <f t="shared" si="69"/>
        <v>35455.624000000003</v>
      </c>
      <c r="V620" s="37" t="s">
        <v>75</v>
      </c>
    </row>
    <row r="621" spans="1:22" x14ac:dyDescent="0.25">
      <c r="A621" s="31" t="s">
        <v>55</v>
      </c>
      <c r="B621" s="22">
        <v>1</v>
      </c>
      <c r="C621" s="23">
        <v>1</v>
      </c>
      <c r="D621" s="32" t="s">
        <v>55</v>
      </c>
      <c r="E621" s="32">
        <v>5</v>
      </c>
      <c r="F621" s="24">
        <v>23.99</v>
      </c>
      <c r="G621" s="24">
        <f>725.98+H621</f>
        <v>770.98</v>
      </c>
      <c r="H621" s="24">
        <v>45</v>
      </c>
      <c r="I621" s="91">
        <f t="shared" si="62"/>
        <v>749.97</v>
      </c>
      <c r="J621" s="139">
        <v>1400</v>
      </c>
      <c r="K621" s="140">
        <v>585.35</v>
      </c>
      <c r="L621" s="13">
        <v>1</v>
      </c>
      <c r="M621" s="23">
        <v>1</v>
      </c>
      <c r="N621" s="13">
        <v>12</v>
      </c>
      <c r="O621" s="27">
        <f t="shared" si="63"/>
        <v>287.88</v>
      </c>
      <c r="P621" s="27">
        <f t="shared" si="64"/>
        <v>9251.76</v>
      </c>
      <c r="Q621" s="27">
        <f t="shared" si="65"/>
        <v>16800</v>
      </c>
      <c r="R621" s="27">
        <f t="shared" si="66"/>
        <v>7024.2000000000007</v>
      </c>
      <c r="S621" s="28">
        <f t="shared" si="67"/>
        <v>809.96759999999995</v>
      </c>
      <c r="T621" s="26">
        <f t="shared" si="68"/>
        <v>1054</v>
      </c>
      <c r="U621" s="26">
        <f t="shared" si="69"/>
        <v>35227.8076</v>
      </c>
      <c r="V621" s="49" t="s">
        <v>143</v>
      </c>
    </row>
    <row r="622" spans="1:22" x14ac:dyDescent="0.25">
      <c r="A622" s="31" t="s">
        <v>58</v>
      </c>
      <c r="B622" s="22">
        <v>1</v>
      </c>
      <c r="C622" s="23">
        <v>1</v>
      </c>
      <c r="D622" s="32" t="s">
        <v>58</v>
      </c>
      <c r="E622" s="32">
        <v>6</v>
      </c>
      <c r="F622" s="24">
        <v>23.39</v>
      </c>
      <c r="G622" s="24">
        <f>755.5+H622</f>
        <v>785.5</v>
      </c>
      <c r="H622" s="24">
        <v>30</v>
      </c>
      <c r="I622" s="91">
        <f t="shared" si="62"/>
        <v>778.89</v>
      </c>
      <c r="J622" s="139">
        <v>1400</v>
      </c>
      <c r="K622" s="140">
        <v>585.35</v>
      </c>
      <c r="L622" s="13">
        <v>1</v>
      </c>
      <c r="M622" s="23">
        <v>1</v>
      </c>
      <c r="N622" s="13">
        <v>12</v>
      </c>
      <c r="O622" s="27">
        <f t="shared" si="63"/>
        <v>280.68</v>
      </c>
      <c r="P622" s="27">
        <f t="shared" si="64"/>
        <v>9426</v>
      </c>
      <c r="Q622" s="27">
        <f t="shared" si="65"/>
        <v>16800</v>
      </c>
      <c r="R622" s="27">
        <f t="shared" si="66"/>
        <v>7024.2000000000007</v>
      </c>
      <c r="S622" s="28">
        <f t="shared" si="67"/>
        <v>841.20119999999997</v>
      </c>
      <c r="T622" s="26">
        <f t="shared" si="68"/>
        <v>1054</v>
      </c>
      <c r="U622" s="26">
        <f t="shared" si="69"/>
        <v>35426.081200000008</v>
      </c>
      <c r="V622" s="37" t="s">
        <v>180</v>
      </c>
    </row>
    <row r="623" spans="1:22" x14ac:dyDescent="0.25">
      <c r="A623" s="31"/>
      <c r="B623" s="22"/>
      <c r="C623" s="23"/>
      <c r="D623" s="32"/>
      <c r="E623" s="32"/>
      <c r="F623" s="24"/>
      <c r="G623" s="24"/>
      <c r="H623" s="24"/>
      <c r="I623" s="91"/>
      <c r="J623" s="139"/>
      <c r="K623" s="140"/>
      <c r="L623" s="13"/>
      <c r="M623" s="23"/>
      <c r="N623" s="13"/>
      <c r="O623" s="27"/>
      <c r="P623" s="27"/>
      <c r="Q623" s="27"/>
      <c r="R623" s="27"/>
      <c r="S623" s="28"/>
      <c r="T623" s="26"/>
      <c r="U623" s="26"/>
      <c r="V623" s="37"/>
    </row>
    <row r="624" spans="1:22" x14ac:dyDescent="0.25">
      <c r="A624" s="31"/>
      <c r="B624" s="22"/>
      <c r="C624" s="23"/>
      <c r="D624" s="32"/>
      <c r="E624" s="32"/>
      <c r="F624" s="32"/>
      <c r="G624" s="32"/>
      <c r="H624" s="70"/>
      <c r="I624" s="91"/>
      <c r="J624" s="139"/>
      <c r="K624" s="140"/>
      <c r="L624" s="13"/>
      <c r="M624" s="23"/>
      <c r="N624" s="13"/>
      <c r="O624" s="27"/>
      <c r="P624" s="27"/>
      <c r="Q624" s="27"/>
      <c r="R624" s="27"/>
      <c r="S624" s="27"/>
      <c r="T624" s="27"/>
      <c r="U624" s="26"/>
      <c r="V624" s="49"/>
    </row>
    <row r="625" spans="1:22" x14ac:dyDescent="0.25">
      <c r="A625" s="12"/>
      <c r="B625" s="42"/>
      <c r="C625" s="13"/>
      <c r="D625" s="68" t="s">
        <v>181</v>
      </c>
      <c r="E625" s="87"/>
      <c r="F625" s="17"/>
      <c r="G625" s="19"/>
      <c r="H625" s="19"/>
      <c r="I625" s="92"/>
      <c r="J625" s="139"/>
      <c r="K625" s="140"/>
      <c r="L625" s="42"/>
      <c r="M625" s="13"/>
      <c r="N625" s="44"/>
      <c r="O625" s="43"/>
      <c r="P625" s="43"/>
      <c r="Q625" s="43"/>
      <c r="R625" s="43"/>
      <c r="S625" s="43"/>
      <c r="T625" s="43"/>
      <c r="U625" s="43"/>
      <c r="V625" s="14"/>
    </row>
    <row r="626" spans="1:22" x14ac:dyDescent="0.25">
      <c r="A626" s="31" t="s">
        <v>121</v>
      </c>
      <c r="B626" s="22">
        <v>1</v>
      </c>
      <c r="C626" s="22">
        <v>1</v>
      </c>
      <c r="D626" s="32" t="s">
        <v>121</v>
      </c>
      <c r="E626" s="83">
        <v>7</v>
      </c>
      <c r="F626" s="24">
        <v>29.66</v>
      </c>
      <c r="G626" s="24">
        <f>692.42+H626</f>
        <v>761.42</v>
      </c>
      <c r="H626" s="24">
        <v>69</v>
      </c>
      <c r="I626" s="91">
        <f>F626+G626-H626</f>
        <v>722.07999999999993</v>
      </c>
      <c r="J626" s="139">
        <v>1580</v>
      </c>
      <c r="K626" s="140">
        <v>595.35</v>
      </c>
      <c r="L626" s="22">
        <v>1</v>
      </c>
      <c r="M626" s="22">
        <v>1</v>
      </c>
      <c r="N626" s="13">
        <v>12</v>
      </c>
      <c r="O626" s="27">
        <f>+F626*L626*N626</f>
        <v>355.92</v>
      </c>
      <c r="P626" s="35">
        <f>G626*L626*N626</f>
        <v>9137.0399999999991</v>
      </c>
      <c r="Q626" s="27">
        <f>J626*L626*N626</f>
        <v>18960</v>
      </c>
      <c r="R626" s="27">
        <f>K626*L626*N626</f>
        <v>7144.2000000000007</v>
      </c>
      <c r="S626" s="28">
        <f>IF(I626&lt;650,650*0.09,IF(I626&gt;650,I626*0.09))*12</f>
        <v>779.8463999999999</v>
      </c>
      <c r="T626" s="26">
        <f>400+600+(600*0.09)*L626</f>
        <v>1054</v>
      </c>
      <c r="U626" s="26">
        <f>SUM(O626:T626)</f>
        <v>37431.006400000006</v>
      </c>
      <c r="V626" s="37" t="s">
        <v>182</v>
      </c>
    </row>
    <row r="627" spans="1:22" x14ac:dyDescent="0.25">
      <c r="A627" s="31" t="s">
        <v>55</v>
      </c>
      <c r="B627" s="22">
        <v>1</v>
      </c>
      <c r="C627" s="22">
        <v>1</v>
      </c>
      <c r="D627" s="32" t="s">
        <v>55</v>
      </c>
      <c r="E627" s="83">
        <v>8</v>
      </c>
      <c r="F627" s="24">
        <v>23.99</v>
      </c>
      <c r="G627" s="24">
        <f>689+H627</f>
        <v>734</v>
      </c>
      <c r="H627" s="24">
        <v>45</v>
      </c>
      <c r="I627" s="91">
        <f>F627+G627-H627</f>
        <v>712.99</v>
      </c>
      <c r="J627" s="139">
        <v>1400</v>
      </c>
      <c r="K627" s="140">
        <v>585.35</v>
      </c>
      <c r="L627" s="22">
        <v>1</v>
      </c>
      <c r="M627" s="22">
        <v>1</v>
      </c>
      <c r="N627" s="13">
        <v>12</v>
      </c>
      <c r="O627" s="27">
        <f>+F627*L627*N627</f>
        <v>287.88</v>
      </c>
      <c r="P627" s="35">
        <f>G627*L627*N627</f>
        <v>8808</v>
      </c>
      <c r="Q627" s="27">
        <f>J627*L627*N627</f>
        <v>16800</v>
      </c>
      <c r="R627" s="27">
        <f>K627*L627*N627</f>
        <v>7024.2000000000007</v>
      </c>
      <c r="S627" s="28">
        <f>IF(I627&lt;650,650*0.09,IF(I627&gt;650,I627*0.09))*12</f>
        <v>770.02919999999995</v>
      </c>
      <c r="T627" s="26">
        <f>400+600+(600*0.09)*L627</f>
        <v>1054</v>
      </c>
      <c r="U627" s="26">
        <f>SUM(O627:T627)</f>
        <v>34744.109199999999</v>
      </c>
      <c r="V627" s="37" t="s">
        <v>183</v>
      </c>
    </row>
    <row r="628" spans="1:22" x14ac:dyDescent="0.25">
      <c r="A628" s="31" t="s">
        <v>55</v>
      </c>
      <c r="B628" s="22">
        <v>1</v>
      </c>
      <c r="C628" s="22">
        <v>1</v>
      </c>
      <c r="D628" s="32" t="s">
        <v>55</v>
      </c>
      <c r="E628" s="83">
        <v>9</v>
      </c>
      <c r="F628" s="24">
        <v>23.99</v>
      </c>
      <c r="G628" s="24">
        <f>680.18+H628</f>
        <v>725.18</v>
      </c>
      <c r="H628" s="24">
        <v>45</v>
      </c>
      <c r="I628" s="91">
        <f>F628+G628-H628</f>
        <v>704.17</v>
      </c>
      <c r="J628" s="139">
        <v>1400</v>
      </c>
      <c r="K628" s="140">
        <v>585.35</v>
      </c>
      <c r="L628" s="22">
        <v>1</v>
      </c>
      <c r="M628" s="22">
        <v>1</v>
      </c>
      <c r="N628" s="13">
        <v>12</v>
      </c>
      <c r="O628" s="27">
        <f>+F628*L628*N628</f>
        <v>287.88</v>
      </c>
      <c r="P628" s="35">
        <f>G628*L628*N628</f>
        <v>8702.16</v>
      </c>
      <c r="Q628" s="27">
        <f>J628*L628*N628</f>
        <v>16800</v>
      </c>
      <c r="R628" s="27">
        <f>K628*L628*N628</f>
        <v>7024.2000000000007</v>
      </c>
      <c r="S628" s="28">
        <f>IF(I628&lt;650,650*0.09,IF(I628&gt;650,I628*0.09))*12</f>
        <v>760.50360000000001</v>
      </c>
      <c r="T628" s="26">
        <f>400+600+(600*0.09)*L628</f>
        <v>1054</v>
      </c>
      <c r="U628" s="26">
        <f>SUM(O628:T628)</f>
        <v>34628.743600000002</v>
      </c>
      <c r="V628" s="37" t="s">
        <v>184</v>
      </c>
    </row>
    <row r="629" spans="1:22" x14ac:dyDescent="0.25">
      <c r="A629" s="31"/>
      <c r="B629" s="22"/>
      <c r="C629" s="22"/>
      <c r="D629" s="32"/>
      <c r="E629" s="83"/>
      <c r="F629" s="24"/>
      <c r="G629" s="24"/>
      <c r="H629" s="24"/>
      <c r="I629" s="91"/>
      <c r="J629" s="140"/>
      <c r="K629" s="140"/>
      <c r="L629" s="22"/>
      <c r="M629" s="22"/>
      <c r="N629" s="13"/>
      <c r="O629" s="27"/>
      <c r="P629" s="35"/>
      <c r="Q629" s="27"/>
      <c r="R629" s="27"/>
      <c r="S629" s="28"/>
      <c r="T629" s="26"/>
      <c r="U629" s="26"/>
      <c r="V629" s="49"/>
    </row>
    <row r="630" spans="1:22" x14ac:dyDescent="0.25">
      <c r="A630" s="31"/>
      <c r="B630" s="22"/>
      <c r="C630" s="22"/>
      <c r="D630" s="68" t="s">
        <v>185</v>
      </c>
      <c r="E630" s="83"/>
      <c r="F630" s="24"/>
      <c r="G630" s="24"/>
      <c r="H630" s="24"/>
      <c r="I630" s="91"/>
      <c r="J630" s="140"/>
      <c r="K630" s="140"/>
      <c r="L630" s="22"/>
      <c r="M630" s="22"/>
      <c r="N630" s="13"/>
      <c r="O630" s="27"/>
      <c r="P630" s="35"/>
      <c r="Q630" s="27"/>
      <c r="R630" s="27"/>
      <c r="S630" s="28"/>
      <c r="T630" s="26"/>
      <c r="U630" s="26"/>
      <c r="V630" s="49"/>
    </row>
    <row r="631" spans="1:22" x14ac:dyDescent="0.25">
      <c r="A631" s="31" t="s">
        <v>121</v>
      </c>
      <c r="B631" s="22">
        <v>1</v>
      </c>
      <c r="C631" s="22">
        <v>1</v>
      </c>
      <c r="D631" s="32" t="s">
        <v>121</v>
      </c>
      <c r="E631" s="83">
        <v>10</v>
      </c>
      <c r="F631" s="24">
        <v>29.66</v>
      </c>
      <c r="G631" s="24">
        <f>683.3+H631</f>
        <v>752.3</v>
      </c>
      <c r="H631" s="24">
        <v>69</v>
      </c>
      <c r="I631" s="94">
        <f>F631+G631-H631</f>
        <v>712.95999999999992</v>
      </c>
      <c r="J631" s="139">
        <v>1580</v>
      </c>
      <c r="K631" s="140">
        <v>595.35</v>
      </c>
      <c r="L631" s="22">
        <v>1</v>
      </c>
      <c r="M631" s="22">
        <v>1</v>
      </c>
      <c r="N631" s="23">
        <v>12</v>
      </c>
      <c r="O631" s="27">
        <f>+F631*L631*N631</f>
        <v>355.92</v>
      </c>
      <c r="P631" s="35">
        <f>G631*L631*N631</f>
        <v>9027.5999999999985</v>
      </c>
      <c r="Q631" s="27">
        <f>J631*L631*N631</f>
        <v>18960</v>
      </c>
      <c r="R631" s="27">
        <f>K631*L631*N631</f>
        <v>7144.2000000000007</v>
      </c>
      <c r="S631" s="41">
        <f>IF(I631&lt;650,650*0.09,IF(I631&gt;650,I631*0.09))*12</f>
        <v>769.99679999999989</v>
      </c>
      <c r="T631" s="26">
        <f>400+600+(600*0.09)*L631</f>
        <v>1054</v>
      </c>
      <c r="U631" s="26">
        <f>SUM(O631:T631)</f>
        <v>37311.716800000002</v>
      </c>
      <c r="V631" s="37" t="s">
        <v>186</v>
      </c>
    </row>
    <row r="632" spans="1:22" x14ac:dyDescent="0.25">
      <c r="A632" s="31" t="s">
        <v>55</v>
      </c>
      <c r="B632" s="22">
        <v>1</v>
      </c>
      <c r="C632" s="23">
        <v>1</v>
      </c>
      <c r="D632" s="32" t="s">
        <v>55</v>
      </c>
      <c r="E632" s="83">
        <v>11</v>
      </c>
      <c r="F632" s="24">
        <v>23.99</v>
      </c>
      <c r="G632" s="24">
        <f>692.26+H632</f>
        <v>737.26</v>
      </c>
      <c r="H632" s="24">
        <v>45</v>
      </c>
      <c r="I632" s="94">
        <f>F632+G632-H632</f>
        <v>716.25</v>
      </c>
      <c r="J632" s="139">
        <v>1400</v>
      </c>
      <c r="K632" s="140">
        <v>585.35</v>
      </c>
      <c r="L632" s="22">
        <v>1</v>
      </c>
      <c r="M632" s="23">
        <v>1</v>
      </c>
      <c r="N632" s="23">
        <v>12</v>
      </c>
      <c r="O632" s="27">
        <f>+F632*L632*N632</f>
        <v>287.88</v>
      </c>
      <c r="P632" s="35">
        <f>G632*L632*N632</f>
        <v>8847.119999999999</v>
      </c>
      <c r="Q632" s="27">
        <f>J632*L632*N632</f>
        <v>16800</v>
      </c>
      <c r="R632" s="27">
        <f>K632*L632*N632</f>
        <v>7024.2000000000007</v>
      </c>
      <c r="S632" s="41">
        <f>IF(I632&lt;650,650*0.09,IF(I632&gt;650,I632*0.09))*12</f>
        <v>773.55</v>
      </c>
      <c r="T632" s="26">
        <f>400+600+(600*0.09)*L632</f>
        <v>1054</v>
      </c>
      <c r="U632" s="26">
        <f>SUM(O632:T632)</f>
        <v>34786.75</v>
      </c>
      <c r="V632" s="37" t="s">
        <v>187</v>
      </c>
    </row>
    <row r="633" spans="1:22" x14ac:dyDescent="0.25">
      <c r="A633" s="31" t="s">
        <v>55</v>
      </c>
      <c r="B633" s="22">
        <v>1</v>
      </c>
      <c r="C633" s="23">
        <v>1</v>
      </c>
      <c r="D633" s="32" t="s">
        <v>55</v>
      </c>
      <c r="E633" s="83">
        <v>12</v>
      </c>
      <c r="F633" s="24">
        <v>23.99</v>
      </c>
      <c r="G633" s="24">
        <f>678.73+H633</f>
        <v>723.73</v>
      </c>
      <c r="H633" s="24">
        <v>45</v>
      </c>
      <c r="I633" s="94">
        <f>F633+G633-H633</f>
        <v>702.72</v>
      </c>
      <c r="J633" s="139">
        <v>1400</v>
      </c>
      <c r="K633" s="140">
        <v>585.35</v>
      </c>
      <c r="L633" s="22">
        <v>1</v>
      </c>
      <c r="M633" s="23">
        <v>1</v>
      </c>
      <c r="N633" s="23">
        <v>12</v>
      </c>
      <c r="O633" s="27">
        <f>+F633*L633*N633</f>
        <v>287.88</v>
      </c>
      <c r="P633" s="35">
        <f>G633*L633*N633</f>
        <v>8684.76</v>
      </c>
      <c r="Q633" s="27">
        <f>J633*L633*N633</f>
        <v>16800</v>
      </c>
      <c r="R633" s="27">
        <f>K633*L633*N633</f>
        <v>7024.2000000000007</v>
      </c>
      <c r="S633" s="41">
        <f>IF(I633&lt;650,650*0.09,IF(I633&gt;650,I633*0.09))*12</f>
        <v>758.93759999999997</v>
      </c>
      <c r="T633" s="26">
        <f>400+600+(600*0.09)*L633</f>
        <v>1054</v>
      </c>
      <c r="U633" s="26">
        <f>SUM(O633:T633)</f>
        <v>34609.777599999994</v>
      </c>
      <c r="V633" s="37" t="s">
        <v>187</v>
      </c>
    </row>
    <row r="634" spans="1:22" x14ac:dyDescent="0.25">
      <c r="A634" s="31"/>
      <c r="B634" s="22"/>
      <c r="C634" s="23"/>
      <c r="D634" s="32"/>
      <c r="E634" s="83"/>
      <c r="F634" s="32"/>
      <c r="G634" s="32"/>
      <c r="H634" s="32"/>
      <c r="I634" s="94"/>
      <c r="J634" s="142"/>
      <c r="K634" s="142"/>
      <c r="L634" s="22"/>
      <c r="M634" s="23"/>
      <c r="N634" s="23"/>
      <c r="O634" s="27"/>
      <c r="P634" s="35"/>
      <c r="Q634" s="27"/>
      <c r="R634" s="27"/>
      <c r="S634" s="27"/>
      <c r="T634" s="27"/>
      <c r="U634" s="26"/>
      <c r="V634" s="37"/>
    </row>
    <row r="635" spans="1:22" x14ac:dyDescent="0.25">
      <c r="A635" s="31"/>
      <c r="B635" s="22"/>
      <c r="C635" s="23"/>
      <c r="D635" s="68" t="s">
        <v>188</v>
      </c>
      <c r="E635" s="83"/>
      <c r="F635" s="32"/>
      <c r="G635" s="32"/>
      <c r="H635" s="32"/>
      <c r="I635" s="94"/>
      <c r="J635" s="142"/>
      <c r="K635" s="142"/>
      <c r="L635" s="22"/>
      <c r="M635" s="23"/>
      <c r="N635" s="23"/>
      <c r="O635" s="27"/>
      <c r="P635" s="35"/>
      <c r="Q635" s="27"/>
      <c r="R635" s="27"/>
      <c r="S635" s="27"/>
      <c r="T635" s="27"/>
      <c r="U635" s="26"/>
      <c r="V635" s="37"/>
    </row>
    <row r="636" spans="1:22" x14ac:dyDescent="0.25">
      <c r="A636" s="31" t="s">
        <v>46</v>
      </c>
      <c r="B636" s="22">
        <v>1</v>
      </c>
      <c r="C636" s="23">
        <v>1</v>
      </c>
      <c r="D636" s="32" t="s">
        <v>46</v>
      </c>
      <c r="E636" s="83">
        <v>13</v>
      </c>
      <c r="F636" s="24">
        <v>40.53</v>
      </c>
      <c r="G636" s="24">
        <f>940.31+H636</f>
        <v>970.31</v>
      </c>
      <c r="H636" s="24">
        <v>30</v>
      </c>
      <c r="I636" s="94">
        <f>F636+G636-H636</f>
        <v>980.83999999999992</v>
      </c>
      <c r="J636" s="142">
        <v>2981.32</v>
      </c>
      <c r="K636" s="142"/>
      <c r="L636" s="22">
        <v>1</v>
      </c>
      <c r="M636" s="23">
        <v>1</v>
      </c>
      <c r="N636" s="23">
        <v>12</v>
      </c>
      <c r="O636" s="27">
        <f>+F636*L636*N636</f>
        <v>486.36</v>
      </c>
      <c r="P636" s="35">
        <f>G636*L636*N636</f>
        <v>11643.72</v>
      </c>
      <c r="Q636" s="27">
        <f>J636*L636*N636</f>
        <v>35775.840000000004</v>
      </c>
      <c r="R636" s="27">
        <f>K636*L636*N636</f>
        <v>0</v>
      </c>
      <c r="S636" s="41">
        <f>IF(I636&lt;650,650*0.09,IF(I636&gt;650,I636*0.09))*12</f>
        <v>1059.3071999999997</v>
      </c>
      <c r="T636" s="26">
        <f>400+600+(600*0.09)*L636</f>
        <v>1054</v>
      </c>
      <c r="U636" s="26">
        <f>SUM(O636:T636)</f>
        <v>50019.227200000008</v>
      </c>
      <c r="V636" s="36" t="s">
        <v>189</v>
      </c>
    </row>
    <row r="637" spans="1:22" x14ac:dyDescent="0.25">
      <c r="A637" s="31" t="s">
        <v>53</v>
      </c>
      <c r="B637" s="22">
        <v>1</v>
      </c>
      <c r="C637" s="23">
        <v>1</v>
      </c>
      <c r="D637" s="32" t="s">
        <v>53</v>
      </c>
      <c r="E637" s="83">
        <v>14</v>
      </c>
      <c r="F637" s="24">
        <v>24.18</v>
      </c>
      <c r="G637" s="24">
        <f>731.61+H637</f>
        <v>781.61</v>
      </c>
      <c r="H637" s="24">
        <v>50</v>
      </c>
      <c r="I637" s="94">
        <f>F637+G637-H637</f>
        <v>755.79</v>
      </c>
      <c r="J637" s="139">
        <v>1400</v>
      </c>
      <c r="K637" s="140">
        <v>585.35</v>
      </c>
      <c r="L637" s="22">
        <v>1</v>
      </c>
      <c r="M637" s="23">
        <v>1</v>
      </c>
      <c r="N637" s="23">
        <v>12</v>
      </c>
      <c r="O637" s="27">
        <f>+F637*L637*N637</f>
        <v>290.15999999999997</v>
      </c>
      <c r="P637" s="35">
        <f>G637*L637*N637</f>
        <v>9379.32</v>
      </c>
      <c r="Q637" s="27">
        <f>J637*L637*N637</f>
        <v>16800</v>
      </c>
      <c r="R637" s="27">
        <f>K637*L637*N637</f>
        <v>7024.2000000000007</v>
      </c>
      <c r="S637" s="41">
        <f>IF(I637&lt;650,650*0.09,IF(I637&gt;650,I637*0.09))*12</f>
        <v>816.25319999999988</v>
      </c>
      <c r="T637" s="26">
        <f>400+600+(600*0.09)*L637</f>
        <v>1054</v>
      </c>
      <c r="U637" s="26">
        <f>SUM(O637:T637)</f>
        <v>35363.933199999999</v>
      </c>
      <c r="V637" s="37" t="s">
        <v>190</v>
      </c>
    </row>
    <row r="638" spans="1:22" x14ac:dyDescent="0.25">
      <c r="A638" s="31"/>
      <c r="B638" s="22"/>
      <c r="C638" s="23"/>
      <c r="D638" s="32"/>
      <c r="E638" s="83"/>
      <c r="F638" s="24"/>
      <c r="G638" s="24"/>
      <c r="H638" s="24"/>
      <c r="I638" s="94"/>
      <c r="J638" s="95"/>
      <c r="K638" s="26"/>
      <c r="L638" s="22"/>
      <c r="M638" s="22"/>
      <c r="N638" s="23"/>
      <c r="O638" s="27"/>
      <c r="P638" s="35"/>
      <c r="Q638" s="27"/>
      <c r="R638" s="27"/>
      <c r="S638" s="41"/>
      <c r="T638" s="26"/>
      <c r="U638" s="26"/>
      <c r="V638" s="37"/>
    </row>
    <row r="639" spans="1:22" x14ac:dyDescent="0.25">
      <c r="A639" s="31"/>
      <c r="B639" s="22"/>
      <c r="C639" s="23"/>
      <c r="D639" s="32"/>
      <c r="E639" s="83"/>
      <c r="F639" s="24"/>
      <c r="G639" s="24"/>
      <c r="H639" s="24"/>
      <c r="I639" s="94"/>
      <c r="J639" s="95"/>
      <c r="K639" s="26"/>
      <c r="L639" s="22"/>
      <c r="M639" s="22"/>
      <c r="N639" s="23"/>
      <c r="O639" s="27"/>
      <c r="P639" s="35"/>
      <c r="Q639" s="27"/>
      <c r="R639" s="27"/>
      <c r="S639" s="41"/>
      <c r="T639" s="26"/>
      <c r="U639" s="26"/>
      <c r="V639" s="37"/>
    </row>
    <row r="640" spans="1:22" x14ac:dyDescent="0.25">
      <c r="A640" s="31"/>
      <c r="B640" s="22"/>
      <c r="C640" s="23"/>
      <c r="D640" s="32"/>
      <c r="E640" s="83"/>
      <c r="F640" s="24"/>
      <c r="G640" s="24"/>
      <c r="H640" s="24"/>
      <c r="I640" s="94"/>
      <c r="J640" s="95"/>
      <c r="K640" s="26"/>
      <c r="L640" s="22"/>
      <c r="M640" s="22"/>
      <c r="N640" s="23"/>
      <c r="O640" s="27"/>
      <c r="P640" s="35"/>
      <c r="Q640" s="27"/>
      <c r="R640" s="27"/>
      <c r="S640" s="41"/>
      <c r="T640" s="26"/>
      <c r="U640" s="26"/>
      <c r="V640" s="37"/>
    </row>
    <row r="641" spans="1:22" x14ac:dyDescent="0.25">
      <c r="A641" s="31"/>
      <c r="B641" s="22"/>
      <c r="C641" s="23"/>
      <c r="D641" s="32"/>
      <c r="E641" s="83"/>
      <c r="F641" s="24"/>
      <c r="G641" s="24"/>
      <c r="H641" s="24"/>
      <c r="I641" s="94"/>
      <c r="J641" s="95"/>
      <c r="K641" s="26"/>
      <c r="L641" s="22"/>
      <c r="M641" s="22"/>
      <c r="N641" s="23"/>
      <c r="O641" s="27"/>
      <c r="P641" s="35"/>
      <c r="Q641" s="27"/>
      <c r="R641" s="27"/>
      <c r="S641" s="41"/>
      <c r="T641" s="26"/>
      <c r="U641" s="26"/>
      <c r="V641" s="37"/>
    </row>
    <row r="642" spans="1:22" x14ac:dyDescent="0.25">
      <c r="A642" s="31"/>
      <c r="B642" s="22"/>
      <c r="C642" s="23"/>
      <c r="D642" s="32"/>
      <c r="E642" s="83"/>
      <c r="F642" s="24"/>
      <c r="G642" s="24"/>
      <c r="H642" s="24"/>
      <c r="I642" s="94"/>
      <c r="J642" s="95"/>
      <c r="K642" s="26"/>
      <c r="L642" s="22"/>
      <c r="M642" s="22"/>
      <c r="N642" s="23"/>
      <c r="O642" s="27"/>
      <c r="P642" s="35"/>
      <c r="Q642" s="27"/>
      <c r="R642" s="27"/>
      <c r="S642" s="41"/>
      <c r="T642" s="26"/>
      <c r="U642" s="26"/>
      <c r="V642" s="37"/>
    </row>
    <row r="643" spans="1:22" x14ac:dyDescent="0.25">
      <c r="A643" s="31"/>
      <c r="B643" s="22"/>
      <c r="C643" s="23"/>
      <c r="D643" s="32"/>
      <c r="E643" s="83"/>
      <c r="F643" s="24"/>
      <c r="G643" s="24"/>
      <c r="H643" s="24"/>
      <c r="I643" s="94"/>
      <c r="J643" s="95"/>
      <c r="K643" s="26"/>
      <c r="L643" s="22"/>
      <c r="M643" s="22"/>
      <c r="N643" s="23"/>
      <c r="O643" s="27"/>
      <c r="P643" s="35"/>
      <c r="Q643" s="27"/>
      <c r="R643" s="27"/>
      <c r="S643" s="41"/>
      <c r="T643" s="26"/>
      <c r="U643" s="26"/>
      <c r="V643" s="37"/>
    </row>
    <row r="644" spans="1:22" x14ac:dyDescent="0.25">
      <c r="A644" s="31"/>
      <c r="B644" s="22"/>
      <c r="C644" s="23"/>
      <c r="D644" s="32"/>
      <c r="E644" s="45"/>
      <c r="F644" s="24"/>
      <c r="G644" s="24"/>
      <c r="H644" s="24"/>
      <c r="I644" s="94"/>
      <c r="J644" s="95"/>
      <c r="K644" s="26"/>
      <c r="L644" s="22"/>
      <c r="M644" s="22"/>
      <c r="N644" s="23"/>
      <c r="O644" s="27"/>
      <c r="P644" s="35"/>
      <c r="Q644" s="27"/>
      <c r="R644" s="27"/>
      <c r="S644" s="41"/>
      <c r="T644" s="26"/>
      <c r="U644" s="26"/>
      <c r="V644" s="37"/>
    </row>
    <row r="645" spans="1:22" x14ac:dyDescent="0.25">
      <c r="A645" s="31"/>
      <c r="B645" s="22"/>
      <c r="C645" s="23"/>
      <c r="D645" s="32"/>
      <c r="E645" s="45"/>
      <c r="F645" s="24"/>
      <c r="G645" s="24"/>
      <c r="H645" s="24"/>
      <c r="I645" s="94"/>
      <c r="J645" s="95"/>
      <c r="K645" s="26"/>
      <c r="L645" s="22"/>
      <c r="M645" s="22"/>
      <c r="N645" s="23"/>
      <c r="O645" s="27"/>
      <c r="P645" s="35"/>
      <c r="Q645" s="27"/>
      <c r="R645" s="27"/>
      <c r="S645" s="41"/>
      <c r="T645" s="26"/>
      <c r="U645" s="26"/>
      <c r="V645" s="37"/>
    </row>
    <row r="646" spans="1:22" x14ac:dyDescent="0.25">
      <c r="A646" s="31"/>
      <c r="B646" s="22"/>
      <c r="C646" s="23"/>
      <c r="D646" s="32"/>
      <c r="E646" s="45"/>
      <c r="F646" s="24"/>
      <c r="G646" s="24"/>
      <c r="H646" s="24"/>
      <c r="I646" s="94"/>
      <c r="J646" s="95"/>
      <c r="K646" s="26"/>
      <c r="L646" s="22"/>
      <c r="M646" s="22"/>
      <c r="N646" s="23"/>
      <c r="O646" s="27"/>
      <c r="P646" s="35"/>
      <c r="Q646" s="27"/>
      <c r="R646" s="27"/>
      <c r="S646" s="41"/>
      <c r="T646" s="26"/>
      <c r="U646" s="26"/>
      <c r="V646" s="37"/>
    </row>
    <row r="647" spans="1:22" x14ac:dyDescent="0.25">
      <c r="A647" s="31"/>
      <c r="B647" s="22"/>
      <c r="C647" s="23"/>
      <c r="D647" s="32"/>
      <c r="E647" s="45"/>
      <c r="F647" s="24"/>
      <c r="G647" s="24"/>
      <c r="H647" s="24"/>
      <c r="I647" s="94"/>
      <c r="J647" s="95"/>
      <c r="K647" s="26"/>
      <c r="L647" s="22"/>
      <c r="M647" s="22"/>
      <c r="N647" s="23"/>
      <c r="O647" s="27"/>
      <c r="P647" s="35"/>
      <c r="Q647" s="27"/>
      <c r="R647" s="27"/>
      <c r="S647" s="41"/>
      <c r="T647" s="26"/>
      <c r="U647" s="26"/>
      <c r="V647" s="37"/>
    </row>
    <row r="648" spans="1:22" x14ac:dyDescent="0.25">
      <c r="A648" s="31"/>
      <c r="B648" s="22"/>
      <c r="C648" s="23"/>
      <c r="D648" s="32"/>
      <c r="E648" s="45"/>
      <c r="F648" s="24"/>
      <c r="G648" s="24"/>
      <c r="H648" s="24"/>
      <c r="I648" s="94"/>
      <c r="J648" s="95"/>
      <c r="K648" s="26"/>
      <c r="L648" s="22"/>
      <c r="M648" s="22"/>
      <c r="N648" s="23"/>
      <c r="O648" s="27"/>
      <c r="P648" s="35"/>
      <c r="Q648" s="27"/>
      <c r="R648" s="27"/>
      <c r="S648" s="41"/>
      <c r="T648" s="26"/>
      <c r="U648" s="26"/>
      <c r="V648" s="37"/>
    </row>
    <row r="649" spans="1:22" x14ac:dyDescent="0.25">
      <c r="A649" s="31"/>
      <c r="B649" s="22"/>
      <c r="C649" s="23"/>
      <c r="D649" s="32"/>
      <c r="E649" s="45"/>
      <c r="F649" s="24"/>
      <c r="G649" s="24"/>
      <c r="H649" s="24"/>
      <c r="I649" s="94"/>
      <c r="J649" s="95"/>
      <c r="K649" s="26"/>
      <c r="L649" s="22"/>
      <c r="M649" s="22"/>
      <c r="N649" s="23"/>
      <c r="O649" s="27"/>
      <c r="P649" s="35"/>
      <c r="Q649" s="27"/>
      <c r="R649" s="27"/>
      <c r="S649" s="41"/>
      <c r="T649" s="26"/>
      <c r="U649" s="26"/>
      <c r="V649" s="37"/>
    </row>
    <row r="650" spans="1:22" x14ac:dyDescent="0.25">
      <c r="A650" s="31"/>
      <c r="B650" s="22"/>
      <c r="C650" s="23"/>
      <c r="D650" s="32"/>
      <c r="E650" s="45"/>
      <c r="F650" s="24"/>
      <c r="G650" s="24"/>
      <c r="H650" s="24"/>
      <c r="I650" s="40"/>
      <c r="J650" s="26"/>
      <c r="K650" s="26"/>
      <c r="L650" s="22"/>
      <c r="M650" s="22"/>
      <c r="N650" s="23"/>
      <c r="O650" s="27"/>
      <c r="P650" s="35"/>
      <c r="Q650" s="27"/>
      <c r="R650" s="27"/>
      <c r="S650" s="41"/>
      <c r="T650" s="26"/>
      <c r="U650" s="26"/>
      <c r="V650" s="37"/>
    </row>
    <row r="651" spans="1:22" x14ac:dyDescent="0.25">
      <c r="A651" s="31"/>
      <c r="B651" s="22"/>
      <c r="C651" s="23"/>
      <c r="D651" s="32"/>
      <c r="E651" s="45"/>
      <c r="F651" s="24"/>
      <c r="G651" s="24"/>
      <c r="H651" s="24"/>
      <c r="I651" s="40"/>
      <c r="J651" s="26"/>
      <c r="K651" s="26"/>
      <c r="L651" s="22"/>
      <c r="M651" s="22"/>
      <c r="N651" s="23"/>
      <c r="O651" s="27"/>
      <c r="P651" s="35"/>
      <c r="Q651" s="27"/>
      <c r="R651" s="27"/>
      <c r="S651" s="41"/>
      <c r="T651" s="26"/>
      <c r="U651" s="26"/>
      <c r="V651" s="37"/>
    </row>
    <row r="652" spans="1:22" x14ac:dyDescent="0.25">
      <c r="A652" s="31"/>
      <c r="B652" s="22"/>
      <c r="C652" s="23"/>
      <c r="D652" s="32"/>
      <c r="E652" s="45"/>
      <c r="F652" s="24"/>
      <c r="G652" s="24"/>
      <c r="H652" s="24"/>
      <c r="I652" s="40"/>
      <c r="J652" s="26"/>
      <c r="K652" s="26"/>
      <c r="L652" s="22"/>
      <c r="M652" s="22"/>
      <c r="N652" s="23"/>
      <c r="O652" s="27"/>
      <c r="P652" s="35"/>
      <c r="Q652" s="27"/>
      <c r="R652" s="27"/>
      <c r="S652" s="41"/>
      <c r="T652" s="26"/>
      <c r="U652" s="26"/>
      <c r="V652" s="37"/>
    </row>
    <row r="653" spans="1:22" x14ac:dyDescent="0.25">
      <c r="A653" s="31"/>
      <c r="B653" s="22"/>
      <c r="C653" s="23"/>
      <c r="D653" s="32"/>
      <c r="E653" s="45"/>
      <c r="F653" s="24"/>
      <c r="G653" s="24"/>
      <c r="H653" s="24"/>
      <c r="I653" s="40"/>
      <c r="J653" s="26"/>
      <c r="K653" s="26"/>
      <c r="L653" s="22"/>
      <c r="M653" s="22"/>
      <c r="N653" s="23"/>
      <c r="O653" s="27"/>
      <c r="P653" s="35"/>
      <c r="Q653" s="27"/>
      <c r="R653" s="27"/>
      <c r="S653" s="41"/>
      <c r="T653" s="26"/>
      <c r="U653" s="26"/>
      <c r="V653" s="37"/>
    </row>
    <row r="654" spans="1:22" x14ac:dyDescent="0.25">
      <c r="A654" s="31"/>
      <c r="B654" s="22"/>
      <c r="C654" s="23"/>
      <c r="D654" s="32"/>
      <c r="E654" s="45"/>
      <c r="F654" s="24"/>
      <c r="G654" s="24"/>
      <c r="H654" s="24"/>
      <c r="I654" s="40"/>
      <c r="J654" s="26"/>
      <c r="K654" s="26"/>
      <c r="L654" s="22"/>
      <c r="M654" s="22"/>
      <c r="N654" s="23"/>
      <c r="O654" s="27"/>
      <c r="P654" s="35"/>
      <c r="Q654" s="27"/>
      <c r="R654" s="27"/>
      <c r="S654" s="41"/>
      <c r="T654" s="26"/>
      <c r="U654" s="26"/>
      <c r="V654" s="37"/>
    </row>
    <row r="655" spans="1:22" x14ac:dyDescent="0.25">
      <c r="A655" s="31"/>
      <c r="B655" s="22"/>
      <c r="C655" s="23"/>
      <c r="D655" s="32"/>
      <c r="E655" s="45"/>
      <c r="F655" s="32"/>
      <c r="G655" s="32"/>
      <c r="H655" s="32"/>
      <c r="I655" s="33"/>
      <c r="J655" s="43"/>
      <c r="K655" s="43"/>
      <c r="L655" s="22"/>
      <c r="M655" s="23"/>
      <c r="N655" s="13"/>
      <c r="O655" s="27"/>
      <c r="P655" s="35"/>
      <c r="Q655" s="27"/>
      <c r="R655" s="27"/>
      <c r="S655" s="27"/>
      <c r="T655" s="27"/>
      <c r="U655" s="26"/>
      <c r="V655" s="37"/>
    </row>
    <row r="656" spans="1:22" x14ac:dyDescent="0.25">
      <c r="A656" s="56"/>
      <c r="B656" s="57"/>
      <c r="C656" s="57"/>
      <c r="D656" s="57"/>
      <c r="E656" s="58"/>
      <c r="F656" s="58"/>
      <c r="G656" s="58"/>
      <c r="H656" s="58"/>
      <c r="I656" s="58"/>
      <c r="J656" s="58"/>
      <c r="K656" s="58"/>
      <c r="L656" s="57"/>
      <c r="M656" s="57"/>
      <c r="N656" s="57"/>
      <c r="O656" s="58"/>
      <c r="P656" s="58"/>
      <c r="Q656" s="58"/>
      <c r="R656" s="58"/>
      <c r="S656" s="58"/>
      <c r="T656" s="58"/>
      <c r="U656" s="58"/>
      <c r="V656" s="58"/>
    </row>
    <row r="657" spans="1:22" ht="24" customHeight="1" x14ac:dyDescent="0.25">
      <c r="A657" s="59" t="s">
        <v>22</v>
      </c>
      <c r="B657" s="60">
        <f>SUM(B617:B656)</f>
        <v>14</v>
      </c>
      <c r="C657" s="60">
        <f>SUM(C617:C656)</f>
        <v>14</v>
      </c>
      <c r="D657" s="89"/>
      <c r="E657" s="90"/>
      <c r="F657" s="63">
        <f>O657/12</f>
        <v>388.17</v>
      </c>
      <c r="G657" s="63">
        <f>P657/12</f>
        <v>11311.5</v>
      </c>
      <c r="H657" s="63"/>
      <c r="I657" s="63"/>
      <c r="J657" s="63">
        <f>Q657/12</f>
        <v>23081.319999999996</v>
      </c>
      <c r="K657" s="63">
        <f>R657/12</f>
        <v>7655.699999999998</v>
      </c>
      <c r="L657" s="60">
        <f>SUM(L617:L656)</f>
        <v>14</v>
      </c>
      <c r="M657" s="60">
        <f>SUM(M617:M656)</f>
        <v>14</v>
      </c>
      <c r="N657" s="64"/>
      <c r="O657" s="65">
        <f t="shared" ref="O657:U657" si="70">SUM(O617:O656)</f>
        <v>4658.04</v>
      </c>
      <c r="P657" s="65">
        <f t="shared" si="70"/>
        <v>135738</v>
      </c>
      <c r="Q657" s="65">
        <f t="shared" si="70"/>
        <v>276975.83999999997</v>
      </c>
      <c r="R657" s="65">
        <f t="shared" si="70"/>
        <v>91868.39999999998</v>
      </c>
      <c r="S657" s="65">
        <f t="shared" si="70"/>
        <v>11908.803599999997</v>
      </c>
      <c r="T657" s="65">
        <f t="shared" si="70"/>
        <v>14756</v>
      </c>
      <c r="U657" s="65">
        <f t="shared" si="70"/>
        <v>535905.08360000001</v>
      </c>
      <c r="V657" s="66"/>
    </row>
    <row r="658" spans="1:22" x14ac:dyDescent="0.25">
      <c r="Q658" s="132">
        <v>369934</v>
      </c>
      <c r="R658" s="145">
        <f>SUM(Q657:R657)</f>
        <v>368844.23999999993</v>
      </c>
    </row>
    <row r="660" spans="1:22" x14ac:dyDescent="0.25">
      <c r="A660" s="75" t="s">
        <v>22</v>
      </c>
      <c r="B660" s="138">
        <f>SUM(B257+B326+B393+B462+B527+B592+B657)</f>
        <v>183</v>
      </c>
      <c r="C660" s="138">
        <f>SUM(C257+C326+C393+C462+C527+C592+C657)</f>
        <v>170</v>
      </c>
      <c r="D660" s="75"/>
      <c r="E660" s="75"/>
      <c r="F660" s="75">
        <f t="shared" ref="F660:U660" si="71">SUM(F257+F326+F393+F462+F527+F592+F657)</f>
        <v>5413.800000000002</v>
      </c>
      <c r="G660" s="75">
        <f t="shared" si="71"/>
        <v>154106.91</v>
      </c>
      <c r="H660" s="75">
        <f t="shared" si="71"/>
        <v>0</v>
      </c>
      <c r="I660" s="75">
        <f t="shared" si="71"/>
        <v>0</v>
      </c>
      <c r="J660" s="75">
        <f t="shared" si="71"/>
        <v>435831.45000000007</v>
      </c>
      <c r="K660" s="75">
        <f t="shared" si="71"/>
        <v>102978.27999999994</v>
      </c>
      <c r="L660" s="138">
        <f t="shared" si="71"/>
        <v>172</v>
      </c>
      <c r="M660" s="138">
        <f t="shared" si="71"/>
        <v>169</v>
      </c>
      <c r="N660" s="75">
        <f t="shared" si="71"/>
        <v>0</v>
      </c>
      <c r="O660" s="75">
        <f t="shared" si="71"/>
        <v>64965.60000000002</v>
      </c>
      <c r="P660" s="75">
        <f t="shared" si="71"/>
        <v>1849282.92</v>
      </c>
      <c r="Q660" s="75">
        <f t="shared" si="71"/>
        <v>5229977.4000000004</v>
      </c>
      <c r="R660" s="75">
        <f t="shared" si="71"/>
        <v>1235739.3599999994</v>
      </c>
      <c r="S660" s="75">
        <f t="shared" si="71"/>
        <v>172506.46679999988</v>
      </c>
      <c r="T660" s="75">
        <f t="shared" si="71"/>
        <v>181288</v>
      </c>
      <c r="U660" s="75">
        <f t="shared" si="71"/>
        <v>8733759.746799998</v>
      </c>
    </row>
    <row r="661" spans="1:22" x14ac:dyDescent="0.25">
      <c r="J661" s="77">
        <f>Q661/12</f>
        <v>13779.5</v>
      </c>
      <c r="K661" s="78"/>
      <c r="L661" s="78"/>
      <c r="M661" s="78"/>
      <c r="N661" s="78"/>
      <c r="O661" s="78"/>
      <c r="P661" s="78"/>
      <c r="Q661" s="116">
        <v>165354</v>
      </c>
      <c r="R661" s="79"/>
      <c r="S661" s="79"/>
      <c r="T661" s="79"/>
      <c r="U661" s="79"/>
    </row>
    <row r="662" spans="1:22" x14ac:dyDescent="0.25">
      <c r="J662" s="77">
        <f>Q662/12</f>
        <v>449610.95</v>
      </c>
      <c r="K662" s="78"/>
      <c r="L662" s="78"/>
      <c r="M662" s="78"/>
      <c r="N662" s="78"/>
      <c r="O662" s="78"/>
      <c r="P662" s="78"/>
      <c r="Q662" s="116">
        <f>Q661+Q660</f>
        <v>5395331.4000000004</v>
      </c>
      <c r="R662" s="79"/>
      <c r="S662" s="135">
        <v>6464461</v>
      </c>
      <c r="T662" s="79"/>
      <c r="U662" s="116">
        <f>S662-Q662</f>
        <v>1069129.5999999996</v>
      </c>
    </row>
    <row r="663" spans="1:22" x14ac:dyDescent="0.25">
      <c r="J663" s="78"/>
      <c r="K663" s="78"/>
      <c r="L663" s="78"/>
      <c r="M663" s="78"/>
      <c r="N663" s="78"/>
      <c r="O663" s="78"/>
      <c r="P663" s="78"/>
      <c r="Q663" s="79"/>
      <c r="R663" s="79"/>
      <c r="S663" s="79"/>
      <c r="T663" s="79"/>
      <c r="U663" s="79"/>
    </row>
    <row r="664" spans="1:22" x14ac:dyDescent="0.25">
      <c r="J664" s="77"/>
      <c r="K664" s="78"/>
      <c r="L664" s="78"/>
      <c r="M664" s="78"/>
      <c r="N664" s="78"/>
      <c r="O664" s="78"/>
      <c r="P664" s="78"/>
      <c r="Q664" s="76">
        <f>SUM(Q259+Q328+Q395+Q464+Q529+Q594+Q658)</f>
        <v>6464461</v>
      </c>
      <c r="R664" s="79"/>
      <c r="S664" s="79"/>
      <c r="T664" s="79"/>
      <c r="U664" s="79"/>
    </row>
    <row r="677" spans="1:22" x14ac:dyDescent="0.2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</row>
    <row r="678" spans="1:22" x14ac:dyDescent="0.2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</row>
    <row r="679" spans="1:22" x14ac:dyDescent="0.2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</row>
    <row r="680" spans="1:22" x14ac:dyDescent="0.2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</row>
    <row r="681" spans="1:22" x14ac:dyDescent="0.2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</row>
    <row r="682" spans="1:22" x14ac:dyDescent="0.2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</row>
    <row r="683" spans="1:22" x14ac:dyDescent="0.2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</row>
    <row r="684" spans="1:22" x14ac:dyDescent="0.2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</row>
    <row r="685" spans="1:22" x14ac:dyDescent="0.2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</row>
    <row r="686" spans="1:22" x14ac:dyDescent="0.2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</row>
    <row r="687" spans="1:22" x14ac:dyDescent="0.2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</row>
    <row r="688" spans="1:22" x14ac:dyDescent="0.2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</row>
    <row r="689" spans="1:22" x14ac:dyDescent="0.2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</row>
  </sheetData>
  <sheetProtection selectLockedCells="1" selectUnlockedCells="1"/>
  <mergeCells count="85">
    <mergeCell ref="A479:C479"/>
    <mergeCell ref="A263:V263"/>
    <mergeCell ref="B611:C611"/>
    <mergeCell ref="F611:K611"/>
    <mergeCell ref="L611:M611"/>
    <mergeCell ref="O611:T611"/>
    <mergeCell ref="L275:M275"/>
    <mergeCell ref="O275:S275"/>
    <mergeCell ref="D341:U341"/>
    <mergeCell ref="B275:C275"/>
    <mergeCell ref="B612:C612"/>
    <mergeCell ref="A342:C342"/>
    <mergeCell ref="B343:C343"/>
    <mergeCell ref="F343:K343"/>
    <mergeCell ref="B413:C413"/>
    <mergeCell ref="B13:C13"/>
    <mergeCell ref="F13:K13"/>
    <mergeCell ref="A332:V332"/>
    <mergeCell ref="A334:V334"/>
    <mergeCell ref="A341:C341"/>
    <mergeCell ref="A1:F1"/>
    <mergeCell ref="A2:V2"/>
    <mergeCell ref="A4:V4"/>
    <mergeCell ref="A11:C11"/>
    <mergeCell ref="D11:U11"/>
    <mergeCell ref="A12:C12"/>
    <mergeCell ref="F274:K274"/>
    <mergeCell ref="L274:M274"/>
    <mergeCell ref="O274:T274"/>
    <mergeCell ref="O13:T13"/>
    <mergeCell ref="B14:C14"/>
    <mergeCell ref="L14:M14"/>
    <mergeCell ref="O14:S14"/>
    <mergeCell ref="L13:M13"/>
    <mergeCell ref="L343:M343"/>
    <mergeCell ref="O343:T343"/>
    <mergeCell ref="B344:C344"/>
    <mergeCell ref="L344:M344"/>
    <mergeCell ref="O344:S344"/>
    <mergeCell ref="A265:V265"/>
    <mergeCell ref="A272:C272"/>
    <mergeCell ref="D272:U272"/>
    <mergeCell ref="A273:C273"/>
    <mergeCell ref="B274:C274"/>
    <mergeCell ref="A401:V401"/>
    <mergeCell ref="A403:V403"/>
    <mergeCell ref="A410:C410"/>
    <mergeCell ref="D410:U410"/>
    <mergeCell ref="A411:C411"/>
    <mergeCell ref="B412:C412"/>
    <mergeCell ref="F412:K412"/>
    <mergeCell ref="L412:M412"/>
    <mergeCell ref="O412:T412"/>
    <mergeCell ref="L413:M413"/>
    <mergeCell ref="O413:S413"/>
    <mergeCell ref="A469:V469"/>
    <mergeCell ref="A471:V471"/>
    <mergeCell ref="A478:C478"/>
    <mergeCell ref="D478:U478"/>
    <mergeCell ref="L480:M480"/>
    <mergeCell ref="O480:T480"/>
    <mergeCell ref="B481:C481"/>
    <mergeCell ref="L481:M481"/>
    <mergeCell ref="O481:S481"/>
    <mergeCell ref="A533:V533"/>
    <mergeCell ref="B480:C480"/>
    <mergeCell ref="F480:K480"/>
    <mergeCell ref="A535:V535"/>
    <mergeCell ref="A542:C542"/>
    <mergeCell ref="D542:U542"/>
    <mergeCell ref="A543:C543"/>
    <mergeCell ref="B544:C544"/>
    <mergeCell ref="F544:K544"/>
    <mergeCell ref="L544:M544"/>
    <mergeCell ref="O544:T544"/>
    <mergeCell ref="L612:M612"/>
    <mergeCell ref="O612:S612"/>
    <mergeCell ref="B545:C545"/>
    <mergeCell ref="L545:M545"/>
    <mergeCell ref="O545:S545"/>
    <mergeCell ref="A600:V600"/>
    <mergeCell ref="A602:V602"/>
    <mergeCell ref="A609:C609"/>
    <mergeCell ref="D609:U609"/>
    <mergeCell ref="A610:C610"/>
  </mergeCells>
  <printOptions horizontalCentered="1"/>
  <pageMargins left="0.19685039370078741" right="0.19685039370078741" top="0.47244094488188981" bottom="1.0629921259842521" header="0.19685039370078741" footer="0.78740157480314965"/>
  <pageSetup paperSize="9" scale="62" firstPageNumber="0" orientation="landscape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"01"</vt:lpstr>
      <vt:lpstr>'Anexo "01"'!Área_de_impresión</vt:lpstr>
      <vt:lpstr>'Anexo "01"'!Títulos_a_imprimir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D. Carrasco Tacilla</dc:creator>
  <cp:lastModifiedBy>pc</cp:lastModifiedBy>
  <cp:lastPrinted>2017-03-06T17:37:08Z</cp:lastPrinted>
  <dcterms:created xsi:type="dcterms:W3CDTF">2013-07-02T13:29:02Z</dcterms:created>
  <dcterms:modified xsi:type="dcterms:W3CDTF">2017-07-19T14:44:43Z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0b34c2fc-9344-4fd5-821f-64a08052d85e</vt:lpwstr>
  </property>
</Properties>
</file>